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Eddiee\Personal\paginas_proyectos\smapasji\CUENTA PUBLICA SJI SMAPA\2022\Informe anual\2. Disciplina Financiera\"/>
    </mc:Choice>
  </mc:AlternateContent>
  <workbookProtection lockStructure="1"/>
  <bookViews>
    <workbookView xWindow="0" yWindow="0" windowWidth="28800" windowHeight="12435" firstSheet="21" activeTab="29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b)'!$A$21</definedName>
    <definedName name="GASTO_E_FIN">'Formato 6 b)'!$A$30</definedName>
    <definedName name="GASTO_E_FIN_01">'Formato 6 b)'!$B$30</definedName>
    <definedName name="GASTO_E_FIN_02">'Formato 6 b)'!$C$30</definedName>
    <definedName name="GASTO_E_FIN_03">'Formato 6 b)'!$D$30</definedName>
    <definedName name="GASTO_E_FIN_04">'Formato 6 b)'!$E$30</definedName>
    <definedName name="GASTO_E_FIN_05">'Formato 6 b)'!$F$30</definedName>
    <definedName name="GASTO_E_FIN_06">'Formato 6 b)'!$G$30</definedName>
    <definedName name="GASTO_E_T1">'Formato 6 b)'!$B$21</definedName>
    <definedName name="GASTO_E_T2">'Formato 6 b)'!$C$21</definedName>
    <definedName name="GASTO_E_T3">'Formato 6 b)'!$D$21</definedName>
    <definedName name="GASTO_E_T4">'Formato 6 b)'!$E$21</definedName>
    <definedName name="GASTO_E_T5">'Formato 6 b)'!$F$21</definedName>
    <definedName name="GASTO_E_T6">'Formato 6 b)'!$G$21</definedName>
    <definedName name="GASTO_NE">'Formato 6 b)'!$A$9</definedName>
    <definedName name="GASTO_NE_FIN">'Formato 6 b)'!$A$20</definedName>
    <definedName name="GASTO_NE_FIN_01">'Formato 6 b)'!$B$20</definedName>
    <definedName name="GASTO_NE_FIN_02">'Formato 6 b)'!$C$20</definedName>
    <definedName name="GASTO_NE_FIN_03">'Formato 6 b)'!$D$20</definedName>
    <definedName name="GASTO_NE_FIN_04">'Formato 6 b)'!$E$20</definedName>
    <definedName name="GASTO_NE_FIN_05">'Formato 6 b)'!$F$20</definedName>
    <definedName name="GASTO_NE_FIN_06">'Formato 6 b)'!$G$20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b)'!$B$31</definedName>
    <definedName name="TOTAL_E_T2">'Formato 6 b)'!$C$31</definedName>
    <definedName name="TOTAL_E_T3">'Formato 6 b)'!$D$31</definedName>
    <definedName name="TOTAL_E_T4">'Formato 6 b)'!$E$31</definedName>
    <definedName name="TOTAL_E_T5">'Formato 6 b)'!$F$31</definedName>
    <definedName name="TOTAL_E_T6">'Formato 6 b)'!$G$31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52511"/>
</workbook>
</file>

<file path=xl/calcChain.xml><?xml version="1.0" encoding="utf-8"?>
<calcChain xmlns="http://schemas.openxmlformats.org/spreadsheetml/2006/main">
  <c r="D6" i="11" l="1"/>
  <c r="E6" i="11" s="1"/>
  <c r="F6" i="11" s="1"/>
  <c r="G6" i="11" s="1"/>
  <c r="C6" i="11"/>
  <c r="B6" i="11"/>
  <c r="D6" i="10"/>
  <c r="E6" i="10" s="1"/>
  <c r="F6" i="10" s="1"/>
  <c r="G6" i="10" s="1"/>
  <c r="C6" i="10"/>
  <c r="B6" i="10"/>
  <c r="B37" i="5" l="1"/>
  <c r="G26" i="5"/>
  <c r="U20" i="20" s="1"/>
  <c r="C137" i="6"/>
  <c r="Q129" i="24" s="1"/>
  <c r="D137" i="6"/>
  <c r="E137" i="6"/>
  <c r="F137" i="6"/>
  <c r="B137" i="6"/>
  <c r="P129" i="24" s="1"/>
  <c r="C62" i="6"/>
  <c r="D62" i="6"/>
  <c r="E62" i="6"/>
  <c r="F62" i="6"/>
  <c r="T55" i="24" s="1"/>
  <c r="B62" i="6"/>
  <c r="B8" i="10"/>
  <c r="C6" i="23"/>
  <c r="C7" i="23" s="1"/>
  <c r="B9" i="1"/>
  <c r="P4" i="15" s="1"/>
  <c r="H25" i="23"/>
  <c r="G25" i="23"/>
  <c r="F25" i="23"/>
  <c r="D5" i="13" s="1"/>
  <c r="E25" i="23"/>
  <c r="C5" i="13" s="1"/>
  <c r="D25" i="23"/>
  <c r="G30" i="9"/>
  <c r="U22" i="27" s="1"/>
  <c r="G31" i="9"/>
  <c r="G29" i="9"/>
  <c r="G28" i="9" s="1"/>
  <c r="U20" i="27" s="1"/>
  <c r="G26" i="9"/>
  <c r="U18" i="27" s="1"/>
  <c r="G27" i="9"/>
  <c r="U19" i="27" s="1"/>
  <c r="G25" i="9"/>
  <c r="G23" i="9"/>
  <c r="U15" i="27" s="1"/>
  <c r="G22" i="9"/>
  <c r="G19" i="9"/>
  <c r="G18" i="9"/>
  <c r="G17" i="9"/>
  <c r="G16" i="9" s="1"/>
  <c r="U9" i="27" s="1"/>
  <c r="G14" i="9"/>
  <c r="G15" i="9"/>
  <c r="G13" i="9"/>
  <c r="G11" i="9"/>
  <c r="G10" i="9"/>
  <c r="G73" i="8"/>
  <c r="U65" i="26" s="1"/>
  <c r="G74" i="8"/>
  <c r="G75" i="8"/>
  <c r="U67" i="26" s="1"/>
  <c r="G72" i="8"/>
  <c r="G63" i="8"/>
  <c r="G64" i="8"/>
  <c r="G65" i="8"/>
  <c r="G66" i="8"/>
  <c r="G67" i="8"/>
  <c r="G68" i="8"/>
  <c r="G69" i="8"/>
  <c r="G70" i="8"/>
  <c r="G62" i="8"/>
  <c r="U54" i="26" s="1"/>
  <c r="G55" i="8"/>
  <c r="G56" i="8"/>
  <c r="U48" i="26" s="1"/>
  <c r="G57" i="8"/>
  <c r="G58" i="8"/>
  <c r="U50" i="26" s="1"/>
  <c r="G59" i="8"/>
  <c r="G60" i="8"/>
  <c r="U52" i="26" s="1"/>
  <c r="G54" i="8"/>
  <c r="G46" i="8"/>
  <c r="U38" i="26" s="1"/>
  <c r="G47" i="8"/>
  <c r="G48" i="8"/>
  <c r="G49" i="8"/>
  <c r="G50" i="8"/>
  <c r="G51" i="8"/>
  <c r="G52" i="8"/>
  <c r="U44" i="26" s="1"/>
  <c r="G45" i="8"/>
  <c r="G39" i="8"/>
  <c r="G40" i="8"/>
  <c r="G41" i="8"/>
  <c r="G38" i="8"/>
  <c r="G11" i="8"/>
  <c r="U4" i="26" s="1"/>
  <c r="G12" i="8"/>
  <c r="G13" i="8"/>
  <c r="U6" i="26" s="1"/>
  <c r="G14" i="8"/>
  <c r="G15" i="8"/>
  <c r="U8" i="26" s="1"/>
  <c r="G16" i="8"/>
  <c r="G17" i="8"/>
  <c r="U10" i="26" s="1"/>
  <c r="G18" i="8"/>
  <c r="G20" i="8"/>
  <c r="G21" i="8"/>
  <c r="G22" i="8"/>
  <c r="U15" i="26" s="1"/>
  <c r="G23" i="8"/>
  <c r="G24" i="8"/>
  <c r="U17" i="26" s="1"/>
  <c r="G25" i="8"/>
  <c r="G26" i="8"/>
  <c r="U19" i="26" s="1"/>
  <c r="G28" i="8"/>
  <c r="G29" i="8"/>
  <c r="G30" i="8"/>
  <c r="G31" i="8"/>
  <c r="U24" i="26" s="1"/>
  <c r="G32" i="8"/>
  <c r="G33" i="8"/>
  <c r="U26" i="26" s="1"/>
  <c r="G34" i="8"/>
  <c r="G35" i="8"/>
  <c r="U28" i="26" s="1"/>
  <c r="G36" i="8"/>
  <c r="G23" i="7"/>
  <c r="G24" i="7"/>
  <c r="G25" i="7"/>
  <c r="G26" i="7"/>
  <c r="G27" i="7"/>
  <c r="G28" i="7"/>
  <c r="G29" i="7"/>
  <c r="G22" i="7"/>
  <c r="G19" i="7"/>
  <c r="B10" i="6"/>
  <c r="P3" i="24" s="1"/>
  <c r="B18" i="6"/>
  <c r="P11" i="24" s="1"/>
  <c r="B28" i="6"/>
  <c r="P21" i="24" s="1"/>
  <c r="B38" i="6"/>
  <c r="P31" i="24" s="1"/>
  <c r="B48" i="6"/>
  <c r="B58" i="6"/>
  <c r="B71" i="6"/>
  <c r="P64" i="24" s="1"/>
  <c r="B75" i="6"/>
  <c r="G152" i="6"/>
  <c r="G153" i="6"/>
  <c r="G154" i="6"/>
  <c r="U146" i="24" s="1"/>
  <c r="G155" i="6"/>
  <c r="G156" i="6"/>
  <c r="G157" i="6"/>
  <c r="G151" i="6"/>
  <c r="G148" i="6"/>
  <c r="G149" i="6"/>
  <c r="G147" i="6"/>
  <c r="G139" i="6"/>
  <c r="U131" i="24" s="1"/>
  <c r="G140" i="6"/>
  <c r="G141" i="6"/>
  <c r="G142" i="6"/>
  <c r="G143" i="6"/>
  <c r="U135" i="24" s="1"/>
  <c r="G144" i="6"/>
  <c r="G145" i="6"/>
  <c r="G138" i="6"/>
  <c r="G135" i="6"/>
  <c r="G133" i="6" s="1"/>
  <c r="U125" i="24" s="1"/>
  <c r="G136" i="6"/>
  <c r="G134" i="6"/>
  <c r="G125" i="6"/>
  <c r="G126" i="6"/>
  <c r="G127" i="6"/>
  <c r="G128" i="6"/>
  <c r="G129" i="6"/>
  <c r="G130" i="6"/>
  <c r="G131" i="6"/>
  <c r="G132" i="6"/>
  <c r="G124" i="6"/>
  <c r="G115" i="6"/>
  <c r="U107" i="24" s="1"/>
  <c r="G116" i="6"/>
  <c r="G117" i="6"/>
  <c r="G118" i="6"/>
  <c r="G119" i="6"/>
  <c r="U111" i="24" s="1"/>
  <c r="G120" i="6"/>
  <c r="G121" i="6"/>
  <c r="G122" i="6"/>
  <c r="G114" i="6"/>
  <c r="U106" i="24" s="1"/>
  <c r="G105" i="6"/>
  <c r="G106" i="6"/>
  <c r="G107" i="6"/>
  <c r="G108" i="6"/>
  <c r="U100" i="24" s="1"/>
  <c r="G109" i="6"/>
  <c r="G110" i="6"/>
  <c r="G111" i="6"/>
  <c r="G112" i="6"/>
  <c r="U104" i="24" s="1"/>
  <c r="G104" i="6"/>
  <c r="G95" i="6"/>
  <c r="G96" i="6"/>
  <c r="G97" i="6"/>
  <c r="G98" i="6"/>
  <c r="G99" i="6"/>
  <c r="G100" i="6"/>
  <c r="G101" i="6"/>
  <c r="U93" i="24" s="1"/>
  <c r="G102" i="6"/>
  <c r="G94" i="6"/>
  <c r="G87" i="6"/>
  <c r="G88" i="6"/>
  <c r="U80" i="24" s="1"/>
  <c r="G89" i="6"/>
  <c r="G90" i="6"/>
  <c r="G91" i="6"/>
  <c r="G92" i="6"/>
  <c r="U84" i="24" s="1"/>
  <c r="G86" i="6"/>
  <c r="G77" i="6"/>
  <c r="G78" i="6"/>
  <c r="G79" i="6"/>
  <c r="U72" i="24" s="1"/>
  <c r="G80" i="6"/>
  <c r="G81" i="6"/>
  <c r="G82" i="6"/>
  <c r="G76" i="6"/>
  <c r="G73" i="6"/>
  <c r="G74" i="6"/>
  <c r="G72" i="6"/>
  <c r="G64" i="6"/>
  <c r="G65" i="6"/>
  <c r="G66" i="6"/>
  <c r="G67" i="6"/>
  <c r="G68" i="6"/>
  <c r="G69" i="6"/>
  <c r="G70" i="6"/>
  <c r="G63" i="6"/>
  <c r="G60" i="6"/>
  <c r="G58" i="6" s="1"/>
  <c r="U51" i="24" s="1"/>
  <c r="G61" i="6"/>
  <c r="G59" i="6"/>
  <c r="G50" i="6"/>
  <c r="G51" i="6"/>
  <c r="G52" i="6"/>
  <c r="G53" i="6"/>
  <c r="G54" i="6"/>
  <c r="G55" i="6"/>
  <c r="U48" i="24" s="1"/>
  <c r="G56" i="6"/>
  <c r="G57" i="6"/>
  <c r="G49" i="6"/>
  <c r="G40" i="6"/>
  <c r="G41" i="6"/>
  <c r="G42" i="6"/>
  <c r="G43" i="6"/>
  <c r="G44" i="6"/>
  <c r="U37" i="24" s="1"/>
  <c r="G45" i="6"/>
  <c r="G46" i="6"/>
  <c r="G47" i="6"/>
  <c r="G39" i="6"/>
  <c r="U32" i="24" s="1"/>
  <c r="G30" i="6"/>
  <c r="G31" i="6"/>
  <c r="G32" i="6"/>
  <c r="G33" i="6"/>
  <c r="U26" i="24" s="1"/>
  <c r="G34" i="6"/>
  <c r="G35" i="6"/>
  <c r="G36" i="6"/>
  <c r="G37" i="6"/>
  <c r="U30" i="24" s="1"/>
  <c r="G29" i="6"/>
  <c r="G20" i="6"/>
  <c r="G21" i="6"/>
  <c r="G22" i="6"/>
  <c r="G23" i="6"/>
  <c r="G24" i="6"/>
  <c r="G25" i="6"/>
  <c r="G26" i="6"/>
  <c r="U19" i="24" s="1"/>
  <c r="G27" i="6"/>
  <c r="G19" i="6"/>
  <c r="G11" i="6"/>
  <c r="B7" i="13"/>
  <c r="P2" i="31" s="1"/>
  <c r="G12" i="6"/>
  <c r="G13" i="6"/>
  <c r="G14" i="6"/>
  <c r="U7" i="24" s="1"/>
  <c r="G15" i="6"/>
  <c r="G16" i="6"/>
  <c r="G17" i="6"/>
  <c r="G9" i="5"/>
  <c r="G10" i="5"/>
  <c r="G11" i="5"/>
  <c r="G12" i="5"/>
  <c r="G13" i="5"/>
  <c r="U7" i="20" s="1"/>
  <c r="G14" i="5"/>
  <c r="G15" i="5"/>
  <c r="G17" i="5"/>
  <c r="G18" i="5"/>
  <c r="U12" i="20" s="1"/>
  <c r="G19" i="5"/>
  <c r="G20" i="5"/>
  <c r="G21" i="5"/>
  <c r="G22" i="5"/>
  <c r="U16" i="20" s="1"/>
  <c r="G23" i="5"/>
  <c r="G24" i="5"/>
  <c r="G25" i="5"/>
  <c r="G27" i="5"/>
  <c r="U21" i="20" s="1"/>
  <c r="G29" i="5"/>
  <c r="G30" i="5"/>
  <c r="G31" i="5"/>
  <c r="U25" i="20" s="1"/>
  <c r="G32" i="5"/>
  <c r="U26" i="20" s="1"/>
  <c r="G33" i="5"/>
  <c r="G34" i="5"/>
  <c r="G36" i="5"/>
  <c r="G35" i="5" s="1"/>
  <c r="U29" i="20" s="1"/>
  <c r="G38" i="5"/>
  <c r="U32" i="20" s="1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D29" i="13"/>
  <c r="R22" i="31" s="1"/>
  <c r="E7" i="13"/>
  <c r="E29" i="13" s="1"/>
  <c r="S2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C28" i="12"/>
  <c r="Q21" i="30" s="1"/>
  <c r="D28" i="12"/>
  <c r="R21" i="30" s="1"/>
  <c r="E28" i="12"/>
  <c r="S21" i="30" s="1"/>
  <c r="F28" i="12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F7" i="12"/>
  <c r="T2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C19" i="11"/>
  <c r="Q12" i="29" s="1"/>
  <c r="D19" i="11"/>
  <c r="R12" i="29" s="1"/>
  <c r="E19" i="11"/>
  <c r="S12" i="29" s="1"/>
  <c r="F19" i="1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Q2" i="29" s="1"/>
  <c r="D8" i="11"/>
  <c r="E8" i="11"/>
  <c r="S2" i="29" s="1"/>
  <c r="F8" i="11"/>
  <c r="T2" i="29" s="1"/>
  <c r="G8" i="11"/>
  <c r="G30" i="11" s="1"/>
  <c r="U22" i="29" s="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 s="1"/>
  <c r="F8" i="10"/>
  <c r="T2" i="28" s="1"/>
  <c r="G8" i="10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D16" i="9"/>
  <c r="R9" i="27" s="1"/>
  <c r="E12" i="9"/>
  <c r="S5" i="27" s="1"/>
  <c r="E16" i="9"/>
  <c r="S9" i="27" s="1"/>
  <c r="F12" i="9"/>
  <c r="F16" i="9"/>
  <c r="F9" i="9" s="1"/>
  <c r="T2" i="27" s="1"/>
  <c r="G12" i="9"/>
  <c r="U5" i="27" s="1"/>
  <c r="Q3" i="27"/>
  <c r="R3" i="27"/>
  <c r="S3" i="27"/>
  <c r="T3" i="27"/>
  <c r="U3" i="27"/>
  <c r="Q4" i="27"/>
  <c r="R4" i="27"/>
  <c r="S4" i="27"/>
  <c r="T4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10" i="27"/>
  <c r="R10" i="27"/>
  <c r="S10" i="27"/>
  <c r="T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Q20" i="27" s="1"/>
  <c r="D24" i="9"/>
  <c r="R16" i="27" s="1"/>
  <c r="D28" i="9"/>
  <c r="R20" i="27" s="1"/>
  <c r="E24" i="9"/>
  <c r="S16" i="27" s="1"/>
  <c r="E28" i="9"/>
  <c r="S20" i="27" s="1"/>
  <c r="F24" i="9"/>
  <c r="F28" i="9"/>
  <c r="T20" i="27" s="1"/>
  <c r="Q14" i="27"/>
  <c r="R14" i="27"/>
  <c r="S14" i="27"/>
  <c r="T14" i="27"/>
  <c r="U14" i="27"/>
  <c r="Q15" i="27"/>
  <c r="R15" i="27"/>
  <c r="S15" i="27"/>
  <c r="T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Q21" i="27"/>
  <c r="R21" i="27"/>
  <c r="S21" i="27"/>
  <c r="T21" i="27"/>
  <c r="Q22" i="27"/>
  <c r="R22" i="27"/>
  <c r="S22" i="27"/>
  <c r="T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E10" i="8"/>
  <c r="S3" i="26" s="1"/>
  <c r="E19" i="8"/>
  <c r="E27" i="8"/>
  <c r="S20" i="26" s="1"/>
  <c r="E37" i="8"/>
  <c r="F10" i="8"/>
  <c r="T3" i="26" s="1"/>
  <c r="F19" i="8"/>
  <c r="F27" i="8"/>
  <c r="T20" i="26" s="1"/>
  <c r="F37" i="8"/>
  <c r="T30" i="26" s="1"/>
  <c r="Q3" i="26"/>
  <c r="Q4" i="26"/>
  <c r="R4" i="26"/>
  <c r="S4" i="26"/>
  <c r="T4" i="26"/>
  <c r="Q5" i="26"/>
  <c r="R5" i="26"/>
  <c r="S5" i="26"/>
  <c r="T5" i="26"/>
  <c r="U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U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U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S63" i="26" s="1"/>
  <c r="F44" i="8"/>
  <c r="T36" i="26" s="1"/>
  <c r="F53" i="8"/>
  <c r="F61" i="8"/>
  <c r="T53" i="26" s="1"/>
  <c r="F71" i="8"/>
  <c r="T63" i="26" s="1"/>
  <c r="R36" i="26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U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P12" i="26" s="1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F9" i="7"/>
  <c r="T2" i="25" s="1"/>
  <c r="F21" i="7"/>
  <c r="T3" i="25" s="1"/>
  <c r="E9" i="7"/>
  <c r="E21" i="7"/>
  <c r="S3" i="25" s="1"/>
  <c r="D9" i="7"/>
  <c r="R2" i="25" s="1"/>
  <c r="D21" i="7"/>
  <c r="R3" i="25" s="1"/>
  <c r="C9" i="7"/>
  <c r="Q2" i="25" s="1"/>
  <c r="C21" i="7"/>
  <c r="B9" i="7"/>
  <c r="P2" i="25" s="1"/>
  <c r="B21" i="7"/>
  <c r="A3" i="25"/>
  <c r="A4" i="25"/>
  <c r="A2" i="25"/>
  <c r="A87" i="24"/>
  <c r="C85" i="6"/>
  <c r="Q77" i="24" s="1"/>
  <c r="C93" i="6"/>
  <c r="Q85" i="24" s="1"/>
  <c r="C103" i="6"/>
  <c r="Q95" i="24" s="1"/>
  <c r="C113" i="6"/>
  <c r="Q105" i="24" s="1"/>
  <c r="C123" i="6"/>
  <c r="Q115" i="24" s="1"/>
  <c r="C133" i="6"/>
  <c r="Q125" i="24" s="1"/>
  <c r="C146" i="6"/>
  <c r="Q138" i="24" s="1"/>
  <c r="C150" i="6"/>
  <c r="D85" i="6"/>
  <c r="R77" i="24" s="1"/>
  <c r="D93" i="6"/>
  <c r="D103" i="6"/>
  <c r="R95" i="24" s="1"/>
  <c r="D113" i="6"/>
  <c r="R105" i="24" s="1"/>
  <c r="D123" i="6"/>
  <c r="R115" i="24" s="1"/>
  <c r="D133" i="6"/>
  <c r="R125" i="24" s="1"/>
  <c r="D146" i="6"/>
  <c r="D150" i="6"/>
  <c r="E85" i="6"/>
  <c r="S77" i="24" s="1"/>
  <c r="E93" i="6"/>
  <c r="S85" i="24" s="1"/>
  <c r="E103" i="6"/>
  <c r="E113" i="6"/>
  <c r="E123" i="6"/>
  <c r="S115" i="24" s="1"/>
  <c r="E133" i="6"/>
  <c r="E146" i="6"/>
  <c r="S138" i="24" s="1"/>
  <c r="E150" i="6"/>
  <c r="S142" i="24" s="1"/>
  <c r="F85" i="6"/>
  <c r="T77" i="24" s="1"/>
  <c r="F93" i="6"/>
  <c r="T85" i="24" s="1"/>
  <c r="F103" i="6"/>
  <c r="T95" i="24" s="1"/>
  <c r="F113" i="6"/>
  <c r="T105" i="24" s="1"/>
  <c r="F123" i="6"/>
  <c r="F133" i="6"/>
  <c r="T125" i="24" s="1"/>
  <c r="F146" i="6"/>
  <c r="T138" i="24" s="1"/>
  <c r="F150" i="6"/>
  <c r="T142" i="24" s="1"/>
  <c r="G113" i="6"/>
  <c r="U105" i="24" s="1"/>
  <c r="G146" i="6"/>
  <c r="U138" i="24" s="1"/>
  <c r="G150" i="6"/>
  <c r="U142" i="24" s="1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S105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S125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U128" i="24"/>
  <c r="R129" i="24"/>
  <c r="S129" i="24"/>
  <c r="T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U137" i="24"/>
  <c r="R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Q21" i="24" s="1"/>
  <c r="C38" i="6"/>
  <c r="C48" i="6"/>
  <c r="C58" i="6"/>
  <c r="Q51" i="24" s="1"/>
  <c r="C71" i="6"/>
  <c r="Q64" i="24" s="1"/>
  <c r="C75" i="6"/>
  <c r="D10" i="6"/>
  <c r="R3" i="24" s="1"/>
  <c r="D18" i="6"/>
  <c r="D28" i="6"/>
  <c r="R21" i="24" s="1"/>
  <c r="D38" i="6"/>
  <c r="D48" i="6"/>
  <c r="R41" i="24" s="1"/>
  <c r="D58" i="6"/>
  <c r="R51" i="24" s="1"/>
  <c r="D71" i="6"/>
  <c r="R64" i="24" s="1"/>
  <c r="D75" i="6"/>
  <c r="R68" i="24" s="1"/>
  <c r="E10" i="6"/>
  <c r="S3" i="24" s="1"/>
  <c r="E18" i="6"/>
  <c r="S11" i="24" s="1"/>
  <c r="E28" i="6"/>
  <c r="S21" i="24" s="1"/>
  <c r="E38" i="6"/>
  <c r="S31" i="24" s="1"/>
  <c r="E48" i="6"/>
  <c r="S41" i="24" s="1"/>
  <c r="E58" i="6"/>
  <c r="S51" i="24" s="1"/>
  <c r="E71" i="6"/>
  <c r="S64" i="24" s="1"/>
  <c r="E75" i="6"/>
  <c r="S68" i="24" s="1"/>
  <c r="F10" i="6"/>
  <c r="T3" i="24" s="1"/>
  <c r="F18" i="6"/>
  <c r="T11" i="24" s="1"/>
  <c r="F28" i="6"/>
  <c r="T21" i="24" s="1"/>
  <c r="F38" i="6"/>
  <c r="F48" i="6"/>
  <c r="T41" i="24" s="1"/>
  <c r="F58" i="6"/>
  <c r="T51" i="24" s="1"/>
  <c r="F71" i="6"/>
  <c r="T64" i="24" s="1"/>
  <c r="F75" i="6"/>
  <c r="G28" i="6"/>
  <c r="U21" i="24" s="1"/>
  <c r="G71" i="6"/>
  <c r="U64" i="24" s="1"/>
  <c r="B85" i="6"/>
  <c r="B93" i="6"/>
  <c r="P85" i="24" s="1"/>
  <c r="B103" i="6"/>
  <c r="P95" i="24" s="1"/>
  <c r="B113" i="6"/>
  <c r="P105" i="24" s="1"/>
  <c r="B123" i="6"/>
  <c r="P115" i="24" s="1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Q31" i="24"/>
  <c r="R31" i="24"/>
  <c r="T31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R55" i="24"/>
  <c r="S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T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4" i="20"/>
  <c r="U5" i="20"/>
  <c r="U6" i="20"/>
  <c r="U8" i="20"/>
  <c r="U9" i="20"/>
  <c r="U11" i="20"/>
  <c r="U13" i="20"/>
  <c r="U14" i="20"/>
  <c r="U15" i="20"/>
  <c r="U17" i="20"/>
  <c r="U18" i="20"/>
  <c r="U19" i="20"/>
  <c r="U23" i="20"/>
  <c r="U24" i="20"/>
  <c r="U27" i="20"/>
  <c r="U28" i="20"/>
  <c r="U30" i="20"/>
  <c r="U33" i="20"/>
  <c r="G46" i="5"/>
  <c r="U38" i="20" s="1"/>
  <c r="G47" i="5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U47" i="20" s="1"/>
  <c r="G56" i="5"/>
  <c r="U48" i="20" s="1"/>
  <c r="G57" i="5"/>
  <c r="U49" i="20" s="1"/>
  <c r="G58" i="5"/>
  <c r="U50" i="20" s="1"/>
  <c r="G60" i="5"/>
  <c r="U52" i="20" s="1"/>
  <c r="G61" i="5"/>
  <c r="U53" i="20" s="1"/>
  <c r="G62" i="5"/>
  <c r="U54" i="20" s="1"/>
  <c r="G63" i="5"/>
  <c r="U55" i="20" s="1"/>
  <c r="G68" i="5"/>
  <c r="U58" i="20" s="1"/>
  <c r="G73" i="5"/>
  <c r="U60" i="20" s="1"/>
  <c r="G74" i="5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Q57" i="20"/>
  <c r="R57" i="20"/>
  <c r="S57" i="20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9" i="20"/>
  <c r="P31" i="20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 s="1"/>
  <c r="D20" i="23"/>
  <c r="E6" i="1" s="1"/>
  <c r="F18" i="23"/>
  <c r="K6" i="3" s="1"/>
  <c r="E18" i="23"/>
  <c r="J6" i="3" s="1"/>
  <c r="D18" i="23"/>
  <c r="I6" i="3" s="1"/>
  <c r="F6" i="1"/>
  <c r="F5" i="13"/>
  <c r="E5" i="13"/>
  <c r="B5" i="13"/>
  <c r="E5" i="12"/>
  <c r="B5" i="12"/>
  <c r="F5" i="12"/>
  <c r="I25" i="23"/>
  <c r="D23" i="23"/>
  <c r="I23" i="23"/>
  <c r="H23" i="23"/>
  <c r="G23" i="23"/>
  <c r="F23" i="23"/>
  <c r="E23" i="23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W3" i="17" s="1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P33" i="18" s="1"/>
  <c r="B63" i="4"/>
  <c r="B55" i="4"/>
  <c r="B53" i="4"/>
  <c r="B49" i="4"/>
  <c r="P27" i="18" s="1"/>
  <c r="B48" i="4"/>
  <c r="P26" i="18" s="1"/>
  <c r="B37" i="4"/>
  <c r="B29" i="4"/>
  <c r="P15" i="18" s="1"/>
  <c r="B17" i="4"/>
  <c r="B13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0" i="18"/>
  <c r="P28" i="18"/>
  <c r="P29" i="18"/>
  <c r="P20" i="18"/>
  <c r="P21" i="18"/>
  <c r="P23" i="18"/>
  <c r="P24" i="18"/>
  <c r="P16" i="18"/>
  <c r="P17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Q76" i="15" s="1"/>
  <c r="F31" i="1"/>
  <c r="Q80" i="15" s="1"/>
  <c r="F38" i="1"/>
  <c r="Q87" i="15" s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P67" i="15" s="1"/>
  <c r="E23" i="1"/>
  <c r="P71" i="15" s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C68" i="4"/>
  <c r="Q36" i="18" s="1"/>
  <c r="D68" i="4"/>
  <c r="R36" i="18" s="1"/>
  <c r="C64" i="4"/>
  <c r="C72" i="4" s="1"/>
  <c r="D64" i="4"/>
  <c r="C63" i="4"/>
  <c r="Q32" i="18" s="1"/>
  <c r="D63" i="4"/>
  <c r="D72" i="4" s="1"/>
  <c r="C48" i="4"/>
  <c r="Q26" i="18" s="1"/>
  <c r="C55" i="4"/>
  <c r="D55" i="4"/>
  <c r="C53" i="4"/>
  <c r="D53" i="4"/>
  <c r="R30" i="18" s="1"/>
  <c r="D48" i="4"/>
  <c r="R26" i="18" s="1"/>
  <c r="C49" i="4"/>
  <c r="Q27" i="18" s="1"/>
  <c r="D49" i="4"/>
  <c r="R27" i="18" s="1"/>
  <c r="C29" i="4"/>
  <c r="Q15" i="18" s="1"/>
  <c r="D29" i="4"/>
  <c r="C40" i="4"/>
  <c r="D40" i="4"/>
  <c r="R22" i="18" s="1"/>
  <c r="C37" i="4"/>
  <c r="C44" i="4" s="1"/>
  <c r="Q25" i="18" s="1"/>
  <c r="D37" i="4"/>
  <c r="C17" i="4"/>
  <c r="Q9" i="18" s="1"/>
  <c r="C13" i="4"/>
  <c r="Q6" i="18" s="1"/>
  <c r="D13" i="4"/>
  <c r="R6" i="18" s="1"/>
  <c r="C13" i="2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G9" i="2"/>
  <c r="U4" i="16" s="1"/>
  <c r="H9" i="2"/>
  <c r="V4" i="16" s="1"/>
  <c r="B9" i="2"/>
  <c r="P4" i="16" s="1"/>
  <c r="Q30" i="18"/>
  <c r="Q22" i="18"/>
  <c r="R31" i="18"/>
  <c r="R19" i="18"/>
  <c r="R15" i="18"/>
  <c r="Q31" i="18"/>
  <c r="R33" i="18"/>
  <c r="Q19" i="18"/>
  <c r="G24" i="9" l="1"/>
  <c r="T9" i="27"/>
  <c r="F9" i="8"/>
  <c r="T2" i="26" s="1"/>
  <c r="E9" i="8"/>
  <c r="S2" i="26" s="1"/>
  <c r="E84" i="6"/>
  <c r="S76" i="24" s="1"/>
  <c r="S95" i="24"/>
  <c r="G75" i="6"/>
  <c r="U68" i="24" s="1"/>
  <c r="G16" i="5"/>
  <c r="U10" i="20" s="1"/>
  <c r="F41" i="5"/>
  <c r="T34" i="20" s="1"/>
  <c r="C47" i="1"/>
  <c r="C62" i="1" s="1"/>
  <c r="Q54" i="15" s="1"/>
  <c r="K14" i="3"/>
  <c r="Y4" i="17" s="1"/>
  <c r="G18" i="6"/>
  <c r="U11" i="24" s="1"/>
  <c r="G48" i="6"/>
  <c r="U41" i="24" s="1"/>
  <c r="G93" i="6"/>
  <c r="U85" i="24" s="1"/>
  <c r="G123" i="6"/>
  <c r="U115" i="24" s="1"/>
  <c r="G44" i="8"/>
  <c r="U36" i="26" s="1"/>
  <c r="G61" i="8"/>
  <c r="U53" i="26" s="1"/>
  <c r="G9" i="9"/>
  <c r="U2" i="27" s="1"/>
  <c r="C8" i="2"/>
  <c r="Q3" i="16" s="1"/>
  <c r="E79" i="1"/>
  <c r="P119" i="15" s="1"/>
  <c r="B8" i="2"/>
  <c r="B20" i="2" s="1"/>
  <c r="P13" i="16" s="1"/>
  <c r="D9" i="9"/>
  <c r="R2" i="27" s="1"/>
  <c r="F43" i="8"/>
  <c r="T35" i="26" s="1"/>
  <c r="E43" i="8"/>
  <c r="S35" i="26" s="1"/>
  <c r="D9" i="6"/>
  <c r="C9" i="6"/>
  <c r="Q2" i="24" s="1"/>
  <c r="G53" i="8"/>
  <c r="U45" i="26" s="1"/>
  <c r="T12" i="26"/>
  <c r="B21" i="9"/>
  <c r="P13" i="27" s="1"/>
  <c r="E21" i="9"/>
  <c r="S13" i="27" s="1"/>
  <c r="C21" i="9"/>
  <c r="Q13" i="27" s="1"/>
  <c r="B30" i="11"/>
  <c r="P22" i="29" s="1"/>
  <c r="B47" i="1"/>
  <c r="B62" i="1" s="1"/>
  <c r="P54" i="15" s="1"/>
  <c r="H20" i="3"/>
  <c r="V5" i="17" s="1"/>
  <c r="R38" i="18"/>
  <c r="D74" i="4"/>
  <c r="R39" i="18" s="1"/>
  <c r="R32" i="18"/>
  <c r="B72" i="4"/>
  <c r="C5" i="12"/>
  <c r="U53" i="24"/>
  <c r="U44" i="24"/>
  <c r="U15" i="24"/>
  <c r="G38" i="6"/>
  <c r="U31" i="24" s="1"/>
  <c r="U89" i="24"/>
  <c r="G85" i="6"/>
  <c r="U77" i="24" s="1"/>
  <c r="D84" i="6"/>
  <c r="R76" i="24" s="1"/>
  <c r="C43" i="8"/>
  <c r="Q35" i="26" s="1"/>
  <c r="G21" i="9"/>
  <c r="U13" i="27" s="1"/>
  <c r="U4" i="27"/>
  <c r="E9" i="9"/>
  <c r="S2" i="27" s="1"/>
  <c r="B32" i="10"/>
  <c r="P23" i="28" s="1"/>
  <c r="E31" i="12"/>
  <c r="S23" i="30" s="1"/>
  <c r="B29" i="13"/>
  <c r="P22" i="31" s="1"/>
  <c r="G27" i="8"/>
  <c r="U20" i="26" s="1"/>
  <c r="G71" i="8"/>
  <c r="U63" i="26" s="1"/>
  <c r="B6" i="1"/>
  <c r="C65" i="5"/>
  <c r="Q56" i="20" s="1"/>
  <c r="E41" i="5"/>
  <c r="S34" i="20" s="1"/>
  <c r="R11" i="24"/>
  <c r="F9" i="6"/>
  <c r="T2" i="24" s="1"/>
  <c r="U127" i="24"/>
  <c r="R85" i="24"/>
  <c r="G103" i="6"/>
  <c r="U95" i="24" s="1"/>
  <c r="C84" i="6"/>
  <c r="Q76" i="24" s="1"/>
  <c r="U40" i="26"/>
  <c r="D43" i="8"/>
  <c r="R35" i="26" s="1"/>
  <c r="S12" i="26"/>
  <c r="C9" i="8"/>
  <c r="Q2" i="26" s="1"/>
  <c r="U21" i="27"/>
  <c r="F21" i="9"/>
  <c r="F33" i="9" s="1"/>
  <c r="T24" i="27" s="1"/>
  <c r="R5" i="27"/>
  <c r="C9" i="9"/>
  <c r="Q2" i="27" s="1"/>
  <c r="C30" i="11"/>
  <c r="Q22" i="29" s="1"/>
  <c r="C31" i="12"/>
  <c r="Q23" i="30" s="1"/>
  <c r="Q2" i="31"/>
  <c r="G10" i="6"/>
  <c r="U3" i="24" s="1"/>
  <c r="G62" i="6"/>
  <c r="U55" i="24" s="1"/>
  <c r="G137" i="6"/>
  <c r="U129" i="24" s="1"/>
  <c r="G10" i="8"/>
  <c r="G37" i="8"/>
  <c r="U30" i="26" s="1"/>
  <c r="P3" i="16"/>
  <c r="D44" i="4"/>
  <c r="F79" i="1"/>
  <c r="Q119" i="15" s="1"/>
  <c r="Q33" i="18"/>
  <c r="D8" i="2"/>
  <c r="D20" i="2" s="1"/>
  <c r="R13" i="16" s="1"/>
  <c r="B44" i="4"/>
  <c r="K8" i="3"/>
  <c r="Y3" i="17" s="1"/>
  <c r="Q11" i="24"/>
  <c r="F84" i="6"/>
  <c r="T76" i="24" s="1"/>
  <c r="T45" i="26"/>
  <c r="Q12" i="26"/>
  <c r="D9" i="8"/>
  <c r="R2" i="26" s="1"/>
  <c r="U10" i="27"/>
  <c r="U2" i="29"/>
  <c r="F31" i="12"/>
  <c r="T23" i="30" s="1"/>
  <c r="G21" i="7"/>
  <c r="U3" i="25" s="1"/>
  <c r="G19" i="8"/>
  <c r="U12" i="26" s="1"/>
  <c r="B9" i="9"/>
  <c r="P2" i="27" s="1"/>
  <c r="G31" i="12"/>
  <c r="U23" i="30" s="1"/>
  <c r="B31" i="12"/>
  <c r="P23" i="30" s="1"/>
  <c r="S2" i="30"/>
  <c r="S2" i="31"/>
  <c r="D30" i="11"/>
  <c r="R22" i="29" s="1"/>
  <c r="F30" i="11"/>
  <c r="T22" i="29" s="1"/>
  <c r="E30" i="11"/>
  <c r="S22" i="29" s="1"/>
  <c r="E31" i="7"/>
  <c r="S4" i="25" s="1"/>
  <c r="A2" i="14"/>
  <c r="D5" i="12"/>
  <c r="G75" i="5"/>
  <c r="U62" i="20" s="1"/>
  <c r="G67" i="5"/>
  <c r="U57" i="20" s="1"/>
  <c r="G59" i="5"/>
  <c r="U51" i="20" s="1"/>
  <c r="B65" i="5"/>
  <c r="P56" i="20" s="1"/>
  <c r="G37" i="5"/>
  <c r="U31" i="20" s="1"/>
  <c r="F65" i="5"/>
  <c r="D65" i="5"/>
  <c r="R56" i="20" s="1"/>
  <c r="E65" i="5"/>
  <c r="S56" i="20" s="1"/>
  <c r="G45" i="5"/>
  <c r="U37" i="20" s="1"/>
  <c r="U3" i="20"/>
  <c r="G28" i="5"/>
  <c r="U22" i="20" s="1"/>
  <c r="D41" i="5"/>
  <c r="C41" i="5"/>
  <c r="B41" i="5"/>
  <c r="P34" i="20" s="1"/>
  <c r="P22" i="20"/>
  <c r="U2" i="25"/>
  <c r="J20" i="3"/>
  <c r="X5" i="17" s="1"/>
  <c r="B31" i="7"/>
  <c r="P4" i="25" s="1"/>
  <c r="H8" i="2"/>
  <c r="H20" i="2" s="1"/>
  <c r="V13" i="16" s="1"/>
  <c r="G8" i="2"/>
  <c r="F8" i="2"/>
  <c r="T3" i="16" s="1"/>
  <c r="T4" i="16"/>
  <c r="E8" i="2"/>
  <c r="S3" i="16" s="1"/>
  <c r="T14" i="16"/>
  <c r="C20" i="2"/>
  <c r="Q13" i="16" s="1"/>
  <c r="B11" i="4"/>
  <c r="P25" i="18"/>
  <c r="Q42" i="15"/>
  <c r="Q38" i="18"/>
  <c r="C74" i="4"/>
  <c r="Q39" i="18" s="1"/>
  <c r="P38" i="18"/>
  <c r="B74" i="4"/>
  <c r="P39" i="18" s="1"/>
  <c r="U3" i="26"/>
  <c r="A2" i="8"/>
  <c r="A2" i="3"/>
  <c r="A2" i="7"/>
  <c r="A2" i="2"/>
  <c r="A2" i="6"/>
  <c r="A2" i="4"/>
  <c r="A2" i="9"/>
  <c r="A2" i="5"/>
  <c r="A2" i="1"/>
  <c r="B9" i="6"/>
  <c r="P2" i="24" s="1"/>
  <c r="C11" i="4"/>
  <c r="D57" i="4"/>
  <c r="D59" i="4" s="1"/>
  <c r="P12" i="15"/>
  <c r="E20" i="3"/>
  <c r="S5" i="17" s="1"/>
  <c r="G20" i="3"/>
  <c r="U5" i="17" s="1"/>
  <c r="A2" i="13"/>
  <c r="G54" i="5"/>
  <c r="U46" i="20" s="1"/>
  <c r="E9" i="6"/>
  <c r="C31" i="7"/>
  <c r="Q4" i="25" s="1"/>
  <c r="D31" i="7"/>
  <c r="R4" i="25" s="1"/>
  <c r="T16" i="27"/>
  <c r="R2" i="29"/>
  <c r="T12" i="29"/>
  <c r="P12" i="29"/>
  <c r="D31" i="12"/>
  <c r="R23" i="30" s="1"/>
  <c r="T21" i="30"/>
  <c r="P21" i="30"/>
  <c r="G29" i="13"/>
  <c r="U22" i="31" s="1"/>
  <c r="P12" i="31"/>
  <c r="Q8" i="16"/>
  <c r="Q4" i="15"/>
  <c r="E47" i="1"/>
  <c r="B57" i="4"/>
  <c r="B59" i="4" s="1"/>
  <c r="C57" i="4"/>
  <c r="C59" i="4" s="1"/>
  <c r="P19" i="18"/>
  <c r="P32" i="18"/>
  <c r="I20" i="3"/>
  <c r="W5" i="17" s="1"/>
  <c r="A2" i="12"/>
  <c r="U61" i="20"/>
  <c r="U39" i="20"/>
  <c r="S2" i="25"/>
  <c r="F31" i="7"/>
  <c r="T4" i="25" s="1"/>
  <c r="P16" i="27"/>
  <c r="U16" i="27"/>
  <c r="Q16" i="27"/>
  <c r="D21" i="9"/>
  <c r="U2" i="30"/>
  <c r="Q2" i="30"/>
  <c r="F29" i="13"/>
  <c r="T22" i="31" s="1"/>
  <c r="A2" i="10"/>
  <c r="V3" i="17"/>
  <c r="F47" i="1"/>
  <c r="P106" i="15"/>
  <c r="P37" i="20"/>
  <c r="E32" i="10"/>
  <c r="S23" i="28" s="1"/>
  <c r="G32" i="10"/>
  <c r="U23" i="28" s="1"/>
  <c r="F32" i="10"/>
  <c r="T23" i="28" s="1"/>
  <c r="C32" i="10"/>
  <c r="Q23" i="28" s="1"/>
  <c r="D32" i="10"/>
  <c r="R23" i="28" s="1"/>
  <c r="U2" i="28"/>
  <c r="B43" i="8"/>
  <c r="P35" i="26" s="1"/>
  <c r="B9" i="8"/>
  <c r="B84" i="6"/>
  <c r="P76" i="24" s="1"/>
  <c r="P3" i="25"/>
  <c r="Q3" i="25"/>
  <c r="K20" i="3" l="1"/>
  <c r="Y5" i="17" s="1"/>
  <c r="T13" i="27"/>
  <c r="E33" i="9"/>
  <c r="S24" i="27" s="1"/>
  <c r="F77" i="8"/>
  <c r="T68" i="26" s="1"/>
  <c r="E77" i="8"/>
  <c r="S68" i="26" s="1"/>
  <c r="D77" i="8"/>
  <c r="R68" i="26" s="1"/>
  <c r="D159" i="6"/>
  <c r="R150" i="24" s="1"/>
  <c r="G84" i="6"/>
  <c r="U76" i="24" s="1"/>
  <c r="G9" i="6"/>
  <c r="U2" i="24" s="1"/>
  <c r="R2" i="24"/>
  <c r="C159" i="6"/>
  <c r="Q150" i="24" s="1"/>
  <c r="G41" i="5"/>
  <c r="G42" i="5" s="1"/>
  <c r="U35" i="20" s="1"/>
  <c r="R3" i="16"/>
  <c r="P42" i="15"/>
  <c r="G9" i="8"/>
  <c r="U2" i="26" s="1"/>
  <c r="G31" i="7"/>
  <c r="U4" i="25" s="1"/>
  <c r="C77" i="8"/>
  <c r="Q68" i="26" s="1"/>
  <c r="C33" i="9"/>
  <c r="Q24" i="27" s="1"/>
  <c r="G33" i="9"/>
  <c r="U24" i="27" s="1"/>
  <c r="D11" i="4"/>
  <c r="R25" i="18"/>
  <c r="F159" i="6"/>
  <c r="T150" i="24" s="1"/>
  <c r="G43" i="8"/>
  <c r="U35" i="26" s="1"/>
  <c r="B33" i="9"/>
  <c r="P24" i="27" s="1"/>
  <c r="E70" i="5"/>
  <c r="T56" i="20"/>
  <c r="F70" i="5"/>
  <c r="R34" i="20"/>
  <c r="D70" i="5"/>
  <c r="Q34" i="20"/>
  <c r="C70" i="5"/>
  <c r="B70" i="5"/>
  <c r="V3" i="16"/>
  <c r="U3" i="16"/>
  <c r="G20" i="2"/>
  <c r="U13" i="16" s="1"/>
  <c r="F20" i="2"/>
  <c r="T13" i="16" s="1"/>
  <c r="E20" i="2"/>
  <c r="S13" i="16" s="1"/>
  <c r="F59" i="1"/>
  <c r="Q95" i="15"/>
  <c r="E59" i="1"/>
  <c r="P95" i="15"/>
  <c r="R13" i="27"/>
  <c r="D33" i="9"/>
  <c r="R24" i="27" s="1"/>
  <c r="E159" i="6"/>
  <c r="S150" i="24" s="1"/>
  <c r="S2" i="24"/>
  <c r="P5" i="18"/>
  <c r="B8" i="4"/>
  <c r="C8" i="4"/>
  <c r="Q5" i="18"/>
  <c r="G65" i="5"/>
  <c r="B77" i="8"/>
  <c r="P68" i="26" s="1"/>
  <c r="P2" i="26"/>
  <c r="B159" i="6"/>
  <c r="P150" i="24" s="1"/>
  <c r="G77" i="8" l="1"/>
  <c r="U68" i="26" s="1"/>
  <c r="G159" i="6"/>
  <c r="U150" i="24" s="1"/>
  <c r="U34" i="20"/>
  <c r="D8" i="4"/>
  <c r="R5" i="18"/>
  <c r="F81" i="1"/>
  <c r="Q120" i="15" s="1"/>
  <c r="Q104" i="15"/>
  <c r="U56" i="20"/>
  <c r="G70" i="5"/>
  <c r="Q2" i="18"/>
  <c r="C21" i="4"/>
  <c r="B21" i="4"/>
  <c r="P2" i="18"/>
  <c r="E81" i="1"/>
  <c r="P120" i="15" s="1"/>
  <c r="P104" i="15"/>
  <c r="R2" i="18" l="1"/>
  <c r="D21" i="4"/>
  <c r="B23" i="4"/>
  <c r="P12" i="18"/>
  <c r="Q12" i="18"/>
  <c r="C23" i="4"/>
  <c r="D23" i="4" l="1"/>
  <c r="R12" i="18"/>
  <c r="C25" i="4"/>
  <c r="Q13" i="18"/>
  <c r="B25" i="4"/>
  <c r="P13" i="18"/>
  <c r="R13" i="18" l="1"/>
  <c r="D25" i="4"/>
  <c r="P14" i="18"/>
  <c r="B33" i="4"/>
  <c r="P18" i="18" s="1"/>
  <c r="C33" i="4"/>
  <c r="Q18" i="18" s="1"/>
  <c r="Q14" i="18"/>
  <c r="D33" i="4" l="1"/>
  <c r="R18" i="18" s="1"/>
  <c r="R14" i="18"/>
</calcChain>
</file>

<file path=xl/sharedStrings.xml><?xml version="1.0" encoding="utf-8"?>
<sst xmlns="http://schemas.openxmlformats.org/spreadsheetml/2006/main" count="4235" uniqueCount="3305">
  <si>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</si>
  <si>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</si>
  <si>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</si>
  <si>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</si>
  <si>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</si>
  <si>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</si>
  <si>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</si>
  <si>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</si>
  <si>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</si>
  <si>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</si>
  <si>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</si>
  <si>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</si>
  <si>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</si>
  <si>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</si>
  <si>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</si>
  <si>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</si>
  <si>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</si>
  <si>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</si>
  <si>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</si>
  <si>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</si>
  <si>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</si>
  <si>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</si>
  <si>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</si>
  <si>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</si>
  <si>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</si>
  <si>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</si>
  <si>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</si>
  <si>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</si>
  <si>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</si>
  <si>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</si>
  <si>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</si>
  <si>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</si>
  <si>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</si>
  <si>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</si>
  <si>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</si>
  <si>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</si>
  <si>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</si>
  <si>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</si>
  <si>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</si>
  <si>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</si>
  <si>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</si>
  <si>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</si>
  <si>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</si>
  <si>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</si>
  <si>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</si>
  <si>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</si>
  <si>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</si>
  <si>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</si>
  <si>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</si>
  <si>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</si>
  <si>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</si>
  <si>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</si>
  <si>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</si>
  <si>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</si>
  <si>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</si>
  <si>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</si>
  <si>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</si>
  <si>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</si>
  <si>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</si>
  <si>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</si>
  <si>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</si>
  <si>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</si>
  <si>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</si>
  <si>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</si>
  <si>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</si>
  <si>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</si>
  <si>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</si>
  <si>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</si>
  <si>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</si>
  <si>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</si>
  <si>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</si>
  <si>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</si>
  <si>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</si>
  <si>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</si>
  <si>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</si>
  <si>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</si>
  <si>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</si>
  <si>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</si>
  <si>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</si>
  <si>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</si>
  <si>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</si>
  <si>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</si>
  <si>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</si>
  <si>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</si>
  <si>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</si>
  <si>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</si>
  <si>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</si>
  <si>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</si>
  <si>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</si>
  <si>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</si>
  <si>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</si>
  <si>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</si>
  <si>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</si>
  <si>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</si>
  <si>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</si>
  <si>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</si>
  <si>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</si>
  <si>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</si>
  <si>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</si>
  <si>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</si>
  <si>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</si>
  <si>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</si>
  <si>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</si>
  <si>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</si>
  <si>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</si>
  <si>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</si>
  <si>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</si>
  <si>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</si>
  <si>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</si>
  <si>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</si>
  <si>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</si>
  <si>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</si>
  <si>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</si>
  <si>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</si>
  <si>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</si>
  <si>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</si>
  <si>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</si>
  <si>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</si>
  <si>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</si>
  <si>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</si>
  <si>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</si>
  <si>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</si>
  <si>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</si>
  <si>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</si>
  <si>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</si>
  <si>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</si>
  <si>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</si>
  <si>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</si>
  <si>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</si>
  <si>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</si>
  <si>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</si>
  <si>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</si>
  <si>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</si>
  <si>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</si>
  <si>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</si>
  <si>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</si>
  <si>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</si>
  <si>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</si>
  <si>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</si>
  <si>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</si>
  <si>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</si>
  <si>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</si>
  <si>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</si>
  <si>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</si>
  <si>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</si>
  <si>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</si>
  <si>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</si>
  <si>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</si>
  <si>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</si>
  <si>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</si>
  <si>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</si>
  <si>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</si>
  <si>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</si>
  <si>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</si>
  <si>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</si>
  <si>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</si>
  <si>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</si>
  <si>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</si>
  <si>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</si>
  <si>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</si>
  <si>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</si>
  <si>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</si>
  <si>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</si>
  <si>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</si>
  <si>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</si>
  <si>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</si>
  <si>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</si>
  <si>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</si>
  <si>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</si>
  <si>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</si>
  <si>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</si>
  <si>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</si>
  <si>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</si>
  <si>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</si>
  <si>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</si>
  <si>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</si>
  <si>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</si>
  <si>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</si>
  <si>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</si>
  <si>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</si>
  <si>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</si>
  <si>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</si>
  <si>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</si>
  <si>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</si>
  <si>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</si>
  <si>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</si>
  <si>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</si>
  <si>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</si>
  <si>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</si>
  <si>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</si>
  <si>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</si>
  <si>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</si>
  <si>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</si>
  <si>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</si>
  <si>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</si>
  <si>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</si>
  <si>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</si>
  <si>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</si>
  <si>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</si>
  <si>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</si>
  <si>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</si>
  <si>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</si>
  <si>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</si>
  <si>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</si>
  <si>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</si>
  <si>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</si>
  <si>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</si>
  <si>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</si>
  <si>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</si>
  <si>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</si>
  <si>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</si>
  <si>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</si>
  <si>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</si>
  <si>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</si>
  <si>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</si>
  <si>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</si>
  <si>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</si>
  <si>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</si>
  <si>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</si>
  <si>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</si>
  <si>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</si>
  <si>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</si>
  <si>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</si>
  <si>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</si>
  <si>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</si>
  <si>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</si>
  <si>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</si>
  <si>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</si>
  <si>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</si>
  <si>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</si>
  <si>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</si>
  <si>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</si>
  <si>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</si>
  <si>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</si>
  <si>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</si>
  <si>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</si>
  <si>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</si>
  <si>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</si>
  <si>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</si>
  <si>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</si>
  <si>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</si>
  <si>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</si>
  <si>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</si>
  <si>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</si>
  <si>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</si>
  <si>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</si>
  <si>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</si>
  <si>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</si>
  <si>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</si>
  <si>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</si>
  <si>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</si>
  <si>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</si>
  <si>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</si>
  <si>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</si>
  <si>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</si>
  <si>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</si>
  <si>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</si>
  <si>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</si>
  <si>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</si>
  <si>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</si>
  <si>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</si>
  <si>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</si>
  <si>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</si>
  <si>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</si>
  <si>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</si>
  <si>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</si>
  <si>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</si>
  <si>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</si>
  <si>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</si>
  <si>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</si>
  <si>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</si>
  <si>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</si>
  <si>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</si>
  <si>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</si>
  <si>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</si>
  <si>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</si>
  <si>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</si>
  <si>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</si>
  <si>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</si>
  <si>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</si>
  <si>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</si>
  <si>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</si>
  <si>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</si>
  <si>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</si>
  <si>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</si>
  <si>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</si>
  <si>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</si>
  <si>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</si>
  <si>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</si>
  <si>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</si>
  <si>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</si>
  <si>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</si>
  <si>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</si>
  <si>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</si>
  <si>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</si>
  <si>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</si>
  <si>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</si>
  <si>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</si>
  <si>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</si>
  <si>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</si>
  <si>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</si>
  <si>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</si>
  <si>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</si>
  <si>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</si>
  <si>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</si>
  <si>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</si>
  <si>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</si>
  <si>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</si>
  <si>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</si>
  <si>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</si>
  <si>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</si>
  <si>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</si>
  <si>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</si>
  <si>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</si>
  <si>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</si>
  <si>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</si>
  <si>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</si>
  <si>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</si>
  <si>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</si>
  <si>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</si>
  <si>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</si>
  <si>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</si>
  <si>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</si>
  <si>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</si>
  <si>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</si>
  <si>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</si>
  <si>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</si>
  <si>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</si>
  <si>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</si>
  <si>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</si>
  <si>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</si>
  <si>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</si>
  <si>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</si>
  <si>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</si>
  <si>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</si>
  <si>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</si>
  <si>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</si>
  <si>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</si>
  <si>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</si>
  <si>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</si>
  <si>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</si>
  <si>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</si>
  <si>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</si>
  <si>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</si>
  <si>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</si>
  <si>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</si>
  <si>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</si>
  <si>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</si>
  <si>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</si>
  <si>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</si>
  <si>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</si>
  <si>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</si>
  <si>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</si>
  <si>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</si>
  <si>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</si>
  <si>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</si>
  <si>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</si>
  <si>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</si>
  <si>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</si>
  <si>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</si>
  <si>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</si>
  <si>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</si>
  <si>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</si>
  <si>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</si>
  <si>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</si>
  <si>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</si>
  <si>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</si>
  <si>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</si>
  <si>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</si>
  <si>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</si>
  <si>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</si>
  <si>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</si>
  <si>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</si>
  <si>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</si>
  <si>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</si>
  <si>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</si>
  <si>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</si>
  <si>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</si>
  <si>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</si>
  <si>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</si>
  <si>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</si>
  <si>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</si>
  <si>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</si>
  <si>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</si>
  <si>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</si>
  <si>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</si>
  <si>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</si>
  <si>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</si>
  <si>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</si>
  <si>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</si>
  <si>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</si>
  <si>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</si>
  <si>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</si>
  <si>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</si>
  <si>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</si>
  <si>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</si>
  <si>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</si>
  <si>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</si>
  <si>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</si>
  <si>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</si>
  <si>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</si>
  <si>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</si>
  <si>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</si>
  <si>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</si>
  <si>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</si>
  <si>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</si>
  <si>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</si>
  <si>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</si>
  <si>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</si>
  <si>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</si>
  <si>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</si>
  <si>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</si>
  <si>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</si>
  <si>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</si>
  <si>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</si>
  <si>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</si>
  <si>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</si>
  <si>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</si>
  <si>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</si>
  <si>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</si>
  <si>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</si>
  <si>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</si>
  <si>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</si>
  <si>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</si>
  <si>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</si>
  <si>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</si>
  <si>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</si>
  <si>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</si>
  <si>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</si>
  <si>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</si>
  <si>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</si>
  <si>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</si>
  <si>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</si>
  <si>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</si>
  <si>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</si>
  <si>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</si>
  <si>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</si>
  <si>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</si>
  <si>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</si>
  <si>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</si>
  <si>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</si>
  <si>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</si>
  <si>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</si>
  <si>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</si>
  <si>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</si>
  <si>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</si>
  <si>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</si>
  <si>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</si>
  <si>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</si>
  <si>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</si>
  <si>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</si>
  <si>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</si>
  <si>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</si>
  <si>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</si>
  <si>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</si>
  <si>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</si>
  <si>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</si>
  <si>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</si>
  <si>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</si>
  <si>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</si>
  <si>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</si>
  <si>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</si>
  <si>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</si>
  <si>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</si>
  <si>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</si>
  <si>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</si>
  <si>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</si>
  <si>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</si>
  <si>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</si>
  <si>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</si>
  <si>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</si>
  <si>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</si>
  <si>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</si>
  <si>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</si>
  <si>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</si>
  <si>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</si>
  <si>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</si>
  <si>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</si>
  <si>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</si>
  <si>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</si>
  <si>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</si>
  <si>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</si>
  <si>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</si>
  <si>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</si>
  <si>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</si>
  <si>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</si>
  <si>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</si>
  <si>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</si>
  <si>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</si>
  <si>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</si>
  <si>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</si>
  <si>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</si>
  <si>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</si>
  <si>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</si>
  <si>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</si>
  <si>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</si>
  <si>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</si>
  <si>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</si>
  <si>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</si>
  <si>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</si>
  <si>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</si>
  <si>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</si>
  <si>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</si>
  <si>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</si>
  <si>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</si>
  <si>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</si>
  <si>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</si>
  <si>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</si>
  <si>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</si>
  <si>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</si>
  <si>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</si>
  <si>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</si>
  <si>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</si>
  <si>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</si>
  <si>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</si>
  <si>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</si>
  <si>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</si>
  <si>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</si>
  <si>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</si>
  <si>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</si>
  <si>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</si>
  <si>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</si>
  <si>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</si>
  <si>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</si>
  <si>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</si>
  <si>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</si>
  <si>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</si>
  <si>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</si>
  <si>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</si>
  <si>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</si>
  <si>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</si>
  <si>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</si>
  <si>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</si>
  <si>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</si>
  <si>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</si>
  <si>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</si>
  <si>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</si>
  <si>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</si>
  <si>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</si>
  <si>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</si>
  <si>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</si>
  <si>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</si>
  <si>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</si>
  <si>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</si>
  <si>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</si>
  <si>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</si>
  <si>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</si>
  <si>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</si>
  <si>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</si>
  <si>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</si>
  <si>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</si>
  <si>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</si>
  <si>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</si>
  <si>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</si>
  <si>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</si>
  <si>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</si>
  <si>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</si>
  <si>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</si>
  <si>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</si>
  <si>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</si>
  <si>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</si>
  <si>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</si>
  <si>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</si>
  <si>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</si>
  <si>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</si>
  <si>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</si>
  <si>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</si>
  <si>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</si>
  <si>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</si>
  <si>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</si>
  <si>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</si>
  <si>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</si>
  <si>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</si>
  <si>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</si>
  <si>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</si>
  <si>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</si>
  <si>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</si>
  <si>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</si>
  <si>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</si>
  <si>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</si>
  <si>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</si>
  <si>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</si>
  <si>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</si>
  <si>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</si>
  <si>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</si>
  <si>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</si>
  <si>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</si>
  <si>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</si>
  <si>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</si>
  <si>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</si>
  <si>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</si>
  <si>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</si>
  <si>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</si>
  <si>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</si>
  <si>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</si>
  <si>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</si>
  <si>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</si>
  <si>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</si>
  <si>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</si>
  <si>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</si>
  <si>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</si>
  <si>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</si>
  <si>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</si>
  <si>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</si>
  <si>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</si>
  <si>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</si>
  <si>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</si>
  <si>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</si>
  <si>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</si>
  <si>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</si>
  <si>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</si>
  <si>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</si>
  <si>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</si>
  <si>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</si>
  <si>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</si>
  <si>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</si>
  <si>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</si>
  <si>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</si>
  <si>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</si>
  <si>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</si>
  <si>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</si>
  <si>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</si>
  <si>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</si>
  <si>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</si>
  <si>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</si>
  <si>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</si>
  <si>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</si>
  <si>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</si>
  <si>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</si>
  <si>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</si>
  <si>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</si>
  <si>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</si>
  <si>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</si>
  <si>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</si>
  <si>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</si>
  <si>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</si>
  <si>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</si>
  <si>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</si>
  <si>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</si>
  <si>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</si>
  <si>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</si>
  <si>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</si>
  <si>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</si>
  <si>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</si>
  <si>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</si>
  <si>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</si>
  <si>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</si>
  <si>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</si>
  <si>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</si>
  <si>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</si>
  <si>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</si>
  <si>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</si>
  <si>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</si>
  <si>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</si>
  <si>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</si>
  <si>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</si>
  <si>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</si>
  <si>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</si>
  <si>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</si>
  <si>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</si>
  <si>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</si>
  <si>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</si>
  <si>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</si>
  <si>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</si>
  <si>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</si>
  <si>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</si>
  <si>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</si>
  <si>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</si>
  <si>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</si>
  <si>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</si>
  <si>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</si>
  <si>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</si>
  <si>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</si>
  <si>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</si>
  <si>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</si>
  <si>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</si>
  <si>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</si>
  <si>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</si>
  <si>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</si>
  <si>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</si>
  <si>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</si>
  <si>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</si>
  <si>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</si>
  <si>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</si>
  <si>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</si>
  <si>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</si>
  <si>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</si>
  <si>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</si>
  <si>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</si>
  <si>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</si>
  <si>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</si>
  <si>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</si>
  <si>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</si>
  <si>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</si>
  <si>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</si>
  <si>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</si>
  <si>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</si>
  <si>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</si>
  <si>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</si>
  <si>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</si>
  <si>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</si>
  <si>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</si>
  <si>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</si>
  <si>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</si>
  <si>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</si>
  <si>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</si>
  <si>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</si>
  <si>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</si>
  <si>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</si>
  <si>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</si>
  <si>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</si>
  <si>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</si>
  <si>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</si>
  <si>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</si>
  <si>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</si>
  <si>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</si>
  <si>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</si>
  <si>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</si>
  <si>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</si>
  <si>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</si>
  <si>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</si>
  <si>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</si>
  <si>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</si>
  <si>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</si>
  <si>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</si>
  <si>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</si>
  <si>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</si>
  <si>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</si>
  <si>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</si>
  <si>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</si>
  <si>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</si>
  <si>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</si>
  <si>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</si>
  <si>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</si>
  <si>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</si>
  <si>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</si>
  <si>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</si>
  <si>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</si>
  <si>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</si>
  <si>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</si>
  <si>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</si>
  <si>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</si>
  <si>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</si>
  <si>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</si>
  <si>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</si>
  <si>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</si>
  <si>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</si>
  <si>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</si>
  <si>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</si>
  <si>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</si>
  <si>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</si>
  <si>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</si>
  <si>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</si>
  <si>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</si>
  <si>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</si>
  <si>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</si>
  <si>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</si>
  <si>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</si>
  <si>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</si>
  <si>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</si>
  <si>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</si>
  <si>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</si>
  <si>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</si>
  <si>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</si>
  <si>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</si>
  <si>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</si>
  <si>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</si>
  <si>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</si>
  <si>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</si>
  <si>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</si>
  <si>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</si>
  <si>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</si>
  <si>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</si>
  <si>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</si>
  <si>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</si>
  <si>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</si>
  <si>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</si>
  <si>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</si>
  <si>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</si>
  <si>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</si>
  <si>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</si>
  <si>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</si>
  <si>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</si>
  <si>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</si>
  <si>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</si>
  <si>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</si>
  <si>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</si>
  <si>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</si>
  <si>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</si>
  <si>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</si>
  <si>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</si>
  <si>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</si>
  <si>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</si>
  <si>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</si>
  <si>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</si>
  <si>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</si>
  <si>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</si>
  <si>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</si>
  <si>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</si>
  <si>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</si>
  <si>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</si>
  <si>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</si>
  <si>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</si>
  <si>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</si>
  <si>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</si>
  <si>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</si>
  <si>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</si>
  <si>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</si>
  <si>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</si>
  <si>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</si>
  <si>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</si>
  <si>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</si>
  <si>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</si>
  <si>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</si>
  <si>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</si>
  <si>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</si>
  <si>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</si>
  <si>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</si>
  <si>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</si>
  <si>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</si>
  <si>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</si>
  <si>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</si>
  <si>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</si>
  <si>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</si>
  <si>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</si>
  <si>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</si>
  <si>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</si>
  <si>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</si>
  <si>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</si>
  <si>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</si>
  <si>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</si>
  <si>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</si>
  <si>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</si>
  <si>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</si>
  <si>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</si>
  <si>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</si>
  <si>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</si>
  <si>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</si>
  <si>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</si>
  <si>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</si>
  <si>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</si>
  <si>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</si>
  <si>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</si>
  <si>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</si>
  <si>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</si>
  <si>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</si>
  <si>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</si>
  <si>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</si>
  <si>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</si>
  <si>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</si>
  <si>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</si>
  <si>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</si>
  <si>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</si>
  <si>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</si>
  <si>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</si>
  <si>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</si>
  <si>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</si>
  <si>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</si>
  <si>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</si>
  <si>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</si>
  <si>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</si>
  <si>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</si>
  <si>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</si>
  <si>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</si>
  <si>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</si>
  <si>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</si>
  <si>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</si>
  <si>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</si>
  <si>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</si>
  <si>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</si>
  <si>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</si>
  <si>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</si>
  <si>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</si>
  <si>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</si>
  <si>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</si>
  <si>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</si>
  <si>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</si>
  <si>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</si>
  <si>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</si>
  <si>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</si>
  <si>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</si>
  <si>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</si>
  <si>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</si>
  <si>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</si>
  <si>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</si>
  <si>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</si>
  <si>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</si>
  <si>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</si>
  <si>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</si>
  <si>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</si>
  <si>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</si>
  <si>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</si>
  <si>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</si>
  <si>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</si>
  <si>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</si>
  <si>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</si>
  <si>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</si>
  <si>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</si>
  <si>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</si>
  <si>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</si>
  <si>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</si>
  <si>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</si>
  <si>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</si>
  <si>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</si>
  <si>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</si>
  <si>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</si>
  <si>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</si>
  <si>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</si>
  <si>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</si>
  <si>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</si>
  <si>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</si>
  <si>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</si>
  <si>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</si>
  <si>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</si>
  <si>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</si>
  <si>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</si>
  <si>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</si>
  <si>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</si>
  <si>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</si>
  <si>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</si>
  <si>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</si>
  <si>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</si>
  <si>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</si>
  <si>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</si>
  <si>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</si>
  <si>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</si>
  <si>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</si>
  <si>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</si>
  <si>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</si>
  <si>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</si>
  <si>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</si>
  <si>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</si>
  <si>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</si>
  <si>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</si>
  <si>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</si>
  <si>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</si>
  <si>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</si>
  <si>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</si>
  <si>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</si>
  <si>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</si>
  <si>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</si>
  <si>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</si>
  <si>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</si>
  <si>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</si>
  <si>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</si>
  <si>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</si>
  <si>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</si>
  <si>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</si>
  <si>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</si>
  <si>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</si>
  <si>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</si>
  <si>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</si>
  <si>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</si>
  <si>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</si>
  <si>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</si>
  <si>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</si>
  <si>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</si>
  <si>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</si>
  <si>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</si>
  <si>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</si>
  <si>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</si>
  <si>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</si>
  <si>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</si>
  <si>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</si>
  <si>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</si>
  <si>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</si>
  <si>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</si>
  <si>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</si>
  <si>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</si>
  <si>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</si>
  <si>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</si>
  <si>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</si>
  <si>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</si>
  <si>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</si>
  <si>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</si>
  <si>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</si>
  <si>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</si>
  <si>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</si>
  <si>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</si>
  <si>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</si>
  <si>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</si>
  <si>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</si>
  <si>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</si>
  <si>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</si>
  <si>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</si>
  <si>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</si>
  <si>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</si>
  <si>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</si>
  <si>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</si>
  <si>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</si>
  <si>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</si>
  <si>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</si>
  <si>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</si>
  <si>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</si>
  <si>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</si>
  <si>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</si>
  <si>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</si>
  <si>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</si>
  <si>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</si>
  <si>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</si>
  <si>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</si>
  <si>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</si>
  <si>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</si>
  <si>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</si>
  <si>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</si>
  <si>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</si>
  <si>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</si>
  <si>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</si>
  <si>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</si>
  <si>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</si>
  <si>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</si>
  <si>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</si>
  <si>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</si>
  <si>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</si>
  <si>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</si>
  <si>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</si>
  <si>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</si>
  <si>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</si>
  <si>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</si>
  <si>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</si>
  <si>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</si>
  <si>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</si>
  <si>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</si>
  <si>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</si>
  <si>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</si>
  <si>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</si>
  <si>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</si>
  <si>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</si>
  <si>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</si>
  <si>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</si>
  <si>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</si>
  <si>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</si>
  <si>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</si>
  <si>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</si>
  <si>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</si>
  <si>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</si>
  <si>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</si>
  <si>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</si>
  <si>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</si>
  <si>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</si>
  <si>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</si>
  <si>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</si>
  <si>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</si>
  <si>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</si>
  <si>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</si>
  <si>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</si>
  <si>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</si>
  <si>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</si>
  <si>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</si>
  <si>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</si>
  <si>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</si>
  <si>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</si>
  <si>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</si>
  <si>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</si>
  <si>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</si>
  <si>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</si>
  <si>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</si>
  <si>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</si>
  <si>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</si>
  <si>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</si>
  <si>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</si>
  <si>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</si>
  <si>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</si>
  <si>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</si>
  <si>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</si>
  <si>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</si>
  <si>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</si>
  <si>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</si>
  <si>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</si>
  <si>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</si>
  <si>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</si>
  <si>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</si>
  <si>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</si>
  <si>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</si>
  <si>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</si>
  <si>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</si>
  <si>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</si>
  <si>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</si>
  <si>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</si>
  <si>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</si>
  <si>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</si>
  <si>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</si>
  <si>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</si>
  <si>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</si>
  <si>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</si>
  <si>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</si>
  <si>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</si>
  <si>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</si>
  <si>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</si>
  <si>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</si>
  <si>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</si>
  <si>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</si>
  <si>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</si>
  <si>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</si>
  <si>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</si>
  <si>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</si>
  <si>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</si>
  <si>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</si>
  <si>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</si>
  <si>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</si>
  <si>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</si>
  <si>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</si>
  <si>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</si>
  <si>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</si>
  <si>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</si>
  <si>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</si>
  <si>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</si>
  <si>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</si>
  <si>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</si>
  <si>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</si>
  <si>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</si>
  <si>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</si>
  <si>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</si>
  <si>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</si>
  <si>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</si>
  <si>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</si>
  <si>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</si>
  <si>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</si>
  <si>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</si>
  <si>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</si>
  <si>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</si>
  <si>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</si>
  <si>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</si>
  <si>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</si>
  <si>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</si>
  <si>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</si>
  <si>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</si>
  <si>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</si>
  <si>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</si>
  <si>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</si>
  <si>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</si>
  <si>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</si>
  <si>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</si>
  <si>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</si>
  <si>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</si>
  <si>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</si>
  <si>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</si>
  <si>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</si>
  <si>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</si>
  <si>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</si>
  <si>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</si>
  <si>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</si>
  <si>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</si>
  <si>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</si>
  <si>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</si>
  <si>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</si>
  <si>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</si>
  <si>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</si>
  <si>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</si>
  <si>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</si>
  <si>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</si>
  <si>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</si>
  <si>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</si>
  <si>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</si>
  <si>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</si>
  <si>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</si>
  <si>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</si>
  <si>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</si>
  <si>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</si>
  <si>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</si>
  <si>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</si>
  <si>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</si>
  <si>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</si>
  <si>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</si>
  <si>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</si>
  <si>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</si>
  <si>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</si>
  <si>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</si>
  <si>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</si>
  <si>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</si>
  <si>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</si>
  <si>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</si>
  <si>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</si>
  <si>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</si>
  <si>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</si>
  <si>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</si>
  <si>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</si>
  <si>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</si>
  <si>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</si>
  <si>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</si>
  <si>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</si>
  <si>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</si>
  <si>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</si>
  <si>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</si>
  <si>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</si>
  <si>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</si>
  <si>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</si>
  <si>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</si>
  <si>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</si>
  <si>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</si>
  <si>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</si>
  <si>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</si>
  <si>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</si>
  <si>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</si>
  <si>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</si>
  <si>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</si>
  <si>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</si>
  <si>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</si>
  <si>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</si>
  <si>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</si>
  <si>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</si>
  <si>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</si>
  <si>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</si>
  <si>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</si>
  <si>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</si>
  <si>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</si>
  <si>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</si>
  <si>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</si>
  <si>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</si>
  <si>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</si>
  <si>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</si>
  <si>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</si>
  <si>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</si>
  <si>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</si>
  <si>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</si>
  <si>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</si>
  <si>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</si>
  <si>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</si>
  <si>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</si>
  <si>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</si>
  <si>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</si>
  <si>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</si>
  <si>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</si>
  <si>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</si>
  <si>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</si>
  <si>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</si>
  <si>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</si>
  <si>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</si>
  <si>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</si>
  <si>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</si>
  <si>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</si>
  <si>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</si>
  <si>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</si>
  <si>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</si>
  <si>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</si>
  <si>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</si>
  <si>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</si>
  <si>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</si>
  <si>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</si>
  <si>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</si>
  <si>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</si>
  <si>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</si>
  <si>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</si>
  <si>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</si>
  <si>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</si>
  <si>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</si>
  <si>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</si>
  <si>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</si>
  <si>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</si>
  <si>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</si>
  <si>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</si>
  <si>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</si>
  <si>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</si>
  <si>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</si>
  <si>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</si>
  <si>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</si>
  <si>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</si>
  <si>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</si>
  <si>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</si>
  <si>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</si>
  <si>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</si>
  <si>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</si>
  <si>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</si>
  <si>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</si>
  <si>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</si>
  <si>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</si>
  <si>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</si>
  <si>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</si>
  <si>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</si>
  <si>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</si>
  <si>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</si>
  <si>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</si>
  <si>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</si>
  <si>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</si>
  <si>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</si>
  <si>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</si>
  <si>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</si>
  <si>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</si>
  <si>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</si>
  <si>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</si>
  <si>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</si>
  <si>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</si>
  <si>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</si>
  <si>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</si>
  <si>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</si>
  <si>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</si>
  <si>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</si>
  <si>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</si>
  <si>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</si>
  <si>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</si>
  <si>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</si>
  <si>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</si>
  <si>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</si>
  <si>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</si>
  <si>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</si>
  <si>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</si>
  <si>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</si>
  <si>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</si>
  <si>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</si>
  <si>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</si>
  <si>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</si>
  <si>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</si>
  <si>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</si>
  <si>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</si>
  <si>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</si>
  <si>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</si>
  <si>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</si>
  <si>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</si>
  <si>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</si>
  <si>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</si>
  <si>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</si>
  <si>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</si>
  <si>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</si>
  <si>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</si>
  <si>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</si>
  <si>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</si>
  <si>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</si>
  <si>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</si>
  <si>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</si>
  <si>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</si>
  <si>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</si>
  <si>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</si>
  <si>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</si>
  <si>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</si>
  <si>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</si>
  <si>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</si>
  <si>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</si>
  <si>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</si>
  <si>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</si>
  <si>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</si>
  <si>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</si>
  <si>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</si>
  <si>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</si>
  <si>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</si>
  <si>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</si>
  <si>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</si>
  <si>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</si>
  <si>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</si>
  <si>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</si>
  <si>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</si>
  <si>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</si>
  <si>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</si>
  <si>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</si>
  <si>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</si>
  <si>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</si>
  <si>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</si>
  <si>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</si>
  <si>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</si>
  <si>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</si>
  <si>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</si>
  <si>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</si>
  <si>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</si>
  <si>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</si>
  <si>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</si>
  <si>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</si>
  <si>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</si>
  <si>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</si>
  <si>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</si>
  <si>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</si>
  <si>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</si>
  <si>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</si>
  <si>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</si>
  <si>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</si>
  <si>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</si>
  <si>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</si>
  <si>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</si>
  <si>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</si>
  <si>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</si>
  <si>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</si>
  <si>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</si>
  <si>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</si>
  <si>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</si>
  <si>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</si>
  <si>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</si>
  <si>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</si>
  <si>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</si>
  <si>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</si>
  <si>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</si>
  <si>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</si>
  <si>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</si>
  <si>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</si>
  <si>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</si>
  <si>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</si>
  <si>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</si>
  <si>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</si>
  <si>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</si>
  <si>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</si>
  <si>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</si>
  <si>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</si>
  <si>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</si>
  <si>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</si>
  <si>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</si>
  <si>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</si>
  <si>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</si>
  <si>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</si>
  <si>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</si>
  <si>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</si>
  <si>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</si>
  <si>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</si>
  <si>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</si>
  <si>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</si>
  <si>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</si>
  <si>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</si>
  <si>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</si>
  <si>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</si>
  <si>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</si>
  <si>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</si>
  <si>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</si>
  <si>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</si>
  <si>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</si>
  <si>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</si>
  <si>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</si>
  <si>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</si>
  <si>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</si>
  <si>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</si>
  <si>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</si>
  <si>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</si>
  <si>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</si>
  <si>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</si>
  <si>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</si>
  <si>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</si>
  <si>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</si>
  <si>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</si>
  <si>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</si>
  <si>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</si>
  <si>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</si>
  <si>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</si>
  <si>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</si>
  <si>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</si>
  <si>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</si>
  <si>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</si>
  <si>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</si>
  <si>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</si>
  <si>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</si>
  <si>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</si>
  <si>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</si>
  <si>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</si>
  <si>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</si>
  <si>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</si>
  <si>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</si>
  <si>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</si>
  <si>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</si>
  <si>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</si>
  <si>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</si>
  <si>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</si>
  <si>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</si>
  <si>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</si>
  <si>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</si>
  <si>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</si>
  <si>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</si>
  <si>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</si>
  <si>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</si>
  <si>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</si>
  <si>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</si>
  <si>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</si>
  <si>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</si>
  <si>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</si>
  <si>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</si>
  <si>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</si>
  <si>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</si>
  <si>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</si>
  <si>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</si>
  <si>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</si>
  <si>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</si>
  <si>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</si>
  <si>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</si>
  <si>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</si>
  <si>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</si>
  <si>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</si>
  <si>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</si>
  <si>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</si>
  <si>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</si>
  <si>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</si>
  <si>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</si>
  <si>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</si>
  <si>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</si>
  <si>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</si>
  <si>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</si>
  <si>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</si>
  <si>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</si>
  <si>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</si>
  <si>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</si>
  <si>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</si>
  <si>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</si>
  <si>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</si>
  <si>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</si>
  <si>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</si>
  <si>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</si>
  <si>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</si>
  <si>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</si>
  <si>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</si>
  <si>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</si>
  <si>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</si>
  <si>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</si>
  <si>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</si>
  <si>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</si>
  <si>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</si>
  <si>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</si>
  <si>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</si>
  <si>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</si>
  <si>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</si>
  <si>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</si>
  <si>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</si>
  <si>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</si>
  <si>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</si>
  <si>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</si>
  <si>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</si>
  <si>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</si>
  <si>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</si>
  <si>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</si>
  <si>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</si>
  <si>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</si>
  <si>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</si>
  <si>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</si>
  <si>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</si>
  <si>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</si>
  <si>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</si>
  <si>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</si>
  <si>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</si>
  <si>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</si>
  <si>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</si>
  <si>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</si>
  <si>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</si>
  <si>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</si>
  <si>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</si>
  <si>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</si>
  <si>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</si>
  <si>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</si>
  <si>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</si>
  <si>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</si>
  <si>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</si>
  <si>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</si>
  <si>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</si>
  <si>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</si>
  <si>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</si>
  <si>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</si>
  <si>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</si>
  <si>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</si>
  <si>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</si>
  <si>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</si>
  <si>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</si>
  <si>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</si>
  <si>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</si>
  <si>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</si>
  <si>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</si>
  <si>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</si>
  <si>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</si>
  <si>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</si>
  <si>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</si>
  <si>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</si>
  <si>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</si>
  <si>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</si>
  <si>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</si>
  <si>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</si>
  <si>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</si>
  <si>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</si>
  <si>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</si>
  <si>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</si>
  <si>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</si>
  <si>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</si>
  <si>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</si>
  <si>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</si>
  <si>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</si>
  <si>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</si>
  <si>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</si>
  <si>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</si>
  <si>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</si>
  <si>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</si>
  <si>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</si>
  <si>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</si>
  <si>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</si>
  <si>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</si>
  <si>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</si>
  <si>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</si>
  <si>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</si>
  <si>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</si>
  <si>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</si>
  <si>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</si>
  <si>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</si>
  <si>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</si>
  <si>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</si>
  <si>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</si>
  <si>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</si>
  <si>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</si>
  <si>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</si>
  <si>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</si>
  <si>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</si>
  <si>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</si>
  <si>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</si>
  <si>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</si>
  <si>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</si>
  <si>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</si>
  <si>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</si>
  <si>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</si>
  <si>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</si>
  <si>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</si>
  <si>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</si>
  <si>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</si>
  <si>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</si>
  <si>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</si>
  <si>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</si>
  <si>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</si>
  <si>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</si>
  <si>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</si>
  <si>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</si>
  <si>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</si>
  <si>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</si>
  <si>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</si>
  <si>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</si>
  <si>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</si>
  <si>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</si>
  <si>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</si>
  <si>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</si>
  <si>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</si>
  <si>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</si>
  <si>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</si>
  <si>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</si>
  <si>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</si>
  <si>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</si>
  <si>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</si>
  <si>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</si>
  <si>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</si>
  <si>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</si>
  <si>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</si>
  <si>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</si>
  <si>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</si>
  <si>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</si>
  <si>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</si>
  <si>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</si>
  <si>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</si>
  <si>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</si>
  <si>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</si>
  <si>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</si>
  <si>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</si>
  <si>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</si>
  <si>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</si>
  <si>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</si>
  <si>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</si>
  <si>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</si>
  <si>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</si>
  <si>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</si>
  <si>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</si>
  <si>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</si>
  <si>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</si>
  <si>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</si>
  <si>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</si>
  <si>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</si>
  <si>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</si>
  <si>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</si>
  <si>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</si>
  <si>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</si>
  <si>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</si>
  <si>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</si>
  <si>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</si>
  <si>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</si>
  <si>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</si>
  <si>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</si>
  <si>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</si>
  <si>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</si>
  <si>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</si>
  <si>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</si>
  <si>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</si>
  <si>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</si>
  <si>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</si>
  <si>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</si>
  <si>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</si>
  <si>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</si>
  <si>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</si>
  <si>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</si>
  <si>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</si>
  <si>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</si>
  <si>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</si>
  <si>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</si>
  <si>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</si>
  <si>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</si>
  <si>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</si>
  <si>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</si>
  <si>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</si>
  <si>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</si>
  <si>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</si>
  <si>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</si>
  <si>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</si>
  <si>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</si>
  <si>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</si>
  <si>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</si>
  <si>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</si>
  <si>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</si>
  <si>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</si>
  <si>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</si>
  <si>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</si>
  <si>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</si>
  <si>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</si>
  <si>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</si>
  <si>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</si>
  <si>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</si>
  <si>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</si>
  <si>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</si>
  <si>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</si>
  <si>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</si>
  <si>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</si>
  <si>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</si>
  <si>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</si>
  <si>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</si>
  <si>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</si>
  <si>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</si>
  <si>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</si>
  <si>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</si>
  <si>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</si>
  <si>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</si>
  <si>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</si>
  <si>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</si>
  <si>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</si>
  <si>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</si>
  <si>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</si>
  <si>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</si>
  <si>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</si>
  <si>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</si>
  <si>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</si>
  <si>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</si>
  <si>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</si>
  <si>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</si>
  <si>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</si>
  <si>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</si>
  <si>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</si>
  <si>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</si>
  <si>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</si>
  <si>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</si>
  <si>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</si>
  <si>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</si>
  <si>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</si>
  <si>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</si>
  <si>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</si>
  <si>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</si>
  <si>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</si>
  <si>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</si>
  <si>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</si>
  <si>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</si>
  <si>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</si>
  <si>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</si>
  <si>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</si>
  <si>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</si>
  <si>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</si>
  <si>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</si>
  <si>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</si>
  <si>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</si>
  <si>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</si>
  <si>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</si>
  <si>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</si>
  <si>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</si>
  <si>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</si>
  <si>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</si>
  <si>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</si>
  <si>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</si>
  <si>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</si>
  <si>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</si>
  <si>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</si>
  <si>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</si>
  <si>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</si>
  <si>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</si>
  <si>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</si>
  <si>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</si>
  <si>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</si>
  <si>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</si>
  <si>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</si>
  <si>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</si>
  <si>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</si>
  <si>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</si>
  <si>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</si>
  <si>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</si>
  <si>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</si>
  <si>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</si>
  <si>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</si>
  <si>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</si>
  <si>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</si>
  <si>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</si>
  <si>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</si>
  <si>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</si>
  <si>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</si>
  <si>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</si>
  <si>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</si>
  <si>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</si>
  <si>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</si>
  <si>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</si>
  <si>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</si>
  <si>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</si>
  <si>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</si>
  <si>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</si>
  <si>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</si>
  <si>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</si>
  <si>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</si>
  <si>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</si>
  <si>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</si>
  <si>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</si>
  <si>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</si>
  <si>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</si>
  <si>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</si>
  <si>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</si>
  <si>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</si>
  <si>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</si>
  <si>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</si>
  <si>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</si>
  <si>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</si>
  <si>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</si>
  <si>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</si>
  <si>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</si>
  <si>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</si>
  <si>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</si>
  <si>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</si>
  <si>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</si>
  <si>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</si>
  <si>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</si>
  <si>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</si>
  <si>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</si>
  <si>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</si>
  <si>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</si>
  <si>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</si>
  <si>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</si>
  <si>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</si>
  <si>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</si>
  <si>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</si>
  <si>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</si>
  <si>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</si>
  <si>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</si>
  <si>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</si>
  <si>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</si>
  <si>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</si>
  <si>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</si>
  <si>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</si>
  <si>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</si>
  <si>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</si>
  <si>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</si>
  <si>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</si>
  <si>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</si>
  <si>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</si>
  <si>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</si>
  <si>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</si>
  <si>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</si>
  <si>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</si>
  <si>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</si>
  <si>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</si>
  <si>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</si>
  <si>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</si>
  <si>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</si>
  <si>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</si>
  <si>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</si>
  <si>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</si>
  <si>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</si>
  <si>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</si>
  <si>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</si>
  <si>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</si>
  <si>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</si>
  <si>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</si>
  <si>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</si>
  <si>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</si>
  <si>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</si>
  <si>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</si>
  <si>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</si>
  <si>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</si>
  <si>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</si>
  <si>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</si>
  <si>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</si>
  <si>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</si>
  <si>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</si>
  <si>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</si>
  <si>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</si>
  <si>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</si>
  <si>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</si>
  <si>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</si>
  <si>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</si>
  <si>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</si>
  <si>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</si>
  <si>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</si>
  <si>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</si>
  <si>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</si>
  <si>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</si>
  <si>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</si>
  <si>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</si>
  <si>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</si>
  <si>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</si>
  <si>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</si>
  <si>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</si>
  <si>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</si>
  <si>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</si>
  <si>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</si>
  <si>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</si>
  <si>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</si>
  <si>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</si>
  <si>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</si>
  <si>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</si>
  <si>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</si>
  <si>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</si>
  <si>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</si>
  <si>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</si>
  <si>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</si>
  <si>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</si>
  <si>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</si>
  <si>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</si>
  <si>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</si>
  <si>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</si>
  <si>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</si>
  <si>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</si>
  <si>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</si>
  <si>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</si>
  <si>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</si>
  <si>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</si>
  <si>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</si>
  <si>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</si>
  <si>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</si>
  <si>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</si>
  <si>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</si>
  <si>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</si>
  <si>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</si>
  <si>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</si>
  <si>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</si>
  <si>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</si>
  <si>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</si>
  <si>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</si>
  <si>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</si>
  <si>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</si>
  <si>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</si>
  <si>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</si>
  <si>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</si>
  <si>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</si>
  <si>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</si>
  <si>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</si>
  <si>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</si>
  <si>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</si>
  <si>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</si>
  <si>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</si>
  <si>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</si>
  <si>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</si>
  <si>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</si>
  <si>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</si>
  <si>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</si>
  <si>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</si>
  <si>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</si>
  <si>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</si>
  <si>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</si>
  <si>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</si>
  <si>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</si>
  <si>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</si>
  <si>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</si>
  <si>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</si>
  <si>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</si>
  <si>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</si>
  <si>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</si>
  <si>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</si>
  <si>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</si>
  <si>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</si>
  <si>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</si>
  <si>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</si>
  <si>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</si>
  <si>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</si>
  <si>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</si>
  <si>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</si>
  <si>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</si>
  <si>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</si>
  <si>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</si>
  <si>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</si>
  <si>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</si>
  <si>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</si>
  <si>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</si>
  <si>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</si>
  <si>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</si>
  <si>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</si>
  <si>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</si>
  <si>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</si>
  <si>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</si>
  <si>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</si>
  <si>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</si>
  <si>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</si>
  <si>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</si>
  <si>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</si>
  <si>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</si>
  <si>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</si>
  <si>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</si>
  <si>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</si>
  <si>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</si>
  <si>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</si>
  <si>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</si>
  <si>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</si>
  <si>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</si>
  <si>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</si>
  <si>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</si>
  <si>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</si>
  <si>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</si>
  <si>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</si>
  <si>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</si>
  <si>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</si>
  <si>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</si>
  <si>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</si>
  <si>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</si>
  <si>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</si>
  <si>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</si>
  <si>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</si>
  <si>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</si>
  <si>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</si>
  <si>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</si>
  <si>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</si>
  <si>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</si>
  <si>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</si>
  <si>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</si>
  <si>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</si>
  <si>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</si>
  <si>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</si>
  <si>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</si>
  <si>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</si>
  <si>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</si>
  <si>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</si>
  <si>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</si>
  <si>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</si>
  <si>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</si>
  <si>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</si>
  <si>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</si>
  <si>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</si>
  <si>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</si>
  <si>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</si>
  <si>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</si>
  <si>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</si>
  <si>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</si>
  <si>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</si>
  <si>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</si>
  <si>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</si>
  <si>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</si>
  <si>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</si>
  <si>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</si>
  <si>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</si>
  <si>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</si>
  <si>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</si>
  <si>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</si>
  <si>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</si>
  <si>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</si>
  <si>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</si>
  <si>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</si>
  <si>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</si>
  <si>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</si>
  <si>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</si>
  <si>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</si>
  <si>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</si>
  <si>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</si>
  <si>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</si>
  <si>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</si>
  <si>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</si>
  <si>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</si>
  <si>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</si>
  <si>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</si>
  <si>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</si>
  <si>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</si>
  <si>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</si>
  <si>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</si>
  <si>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</si>
  <si>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</si>
  <si>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</si>
  <si>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</si>
  <si>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</si>
  <si>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</si>
  <si>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</si>
  <si>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</si>
  <si>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</si>
  <si>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</si>
  <si>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</si>
  <si>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</si>
  <si>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</si>
  <si>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</si>
  <si>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</si>
  <si>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</si>
  <si>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</si>
  <si>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</si>
  <si>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</si>
  <si>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</si>
  <si>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</si>
  <si>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</si>
  <si>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</si>
  <si>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</si>
  <si>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</si>
  <si>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</si>
  <si>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</si>
  <si>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</si>
  <si>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</si>
  <si>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</si>
  <si>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</si>
  <si>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</si>
  <si>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</si>
  <si>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</si>
  <si>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</si>
  <si>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</si>
  <si>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</si>
  <si>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</si>
  <si>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</si>
  <si>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</si>
  <si>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</si>
  <si>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</si>
  <si>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</si>
  <si>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</si>
  <si>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</si>
  <si>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</si>
  <si>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</si>
  <si>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</si>
  <si>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</si>
  <si>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</si>
  <si>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</si>
  <si>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</si>
  <si>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</si>
  <si>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</si>
  <si>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</si>
  <si>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</si>
  <si>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</si>
  <si>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</si>
  <si>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</si>
  <si>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</si>
  <si>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</si>
  <si>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</si>
  <si>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</si>
  <si>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</si>
  <si>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</si>
  <si>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</si>
  <si>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</si>
  <si>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</si>
  <si>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</si>
  <si>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</si>
  <si>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</si>
  <si>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</si>
  <si>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</si>
  <si>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</si>
  <si>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</si>
  <si>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</si>
  <si>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</si>
  <si>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</si>
  <si>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</si>
  <si>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</si>
  <si>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</si>
  <si>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</si>
  <si>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</si>
  <si>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</si>
  <si>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</si>
  <si>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</si>
  <si>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</si>
  <si>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</si>
  <si>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</si>
  <si>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</si>
  <si>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</si>
  <si>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</si>
  <si>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</si>
  <si>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</si>
  <si>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</si>
  <si>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</si>
  <si>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</si>
  <si>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</si>
  <si>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</si>
  <si>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</si>
  <si>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</si>
  <si>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</si>
  <si>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</si>
  <si>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</si>
  <si>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</si>
  <si>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</si>
  <si>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</si>
  <si>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</si>
  <si>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</si>
  <si>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</si>
  <si>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</si>
  <si>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</si>
  <si>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</si>
  <si>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</si>
  <si>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</si>
  <si>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</si>
  <si>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</si>
  <si>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</si>
  <si>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</si>
  <si>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</si>
  <si>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</si>
  <si>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</si>
  <si>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</si>
  <si>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</si>
  <si>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</si>
  <si>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</si>
  <si>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</si>
  <si>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</si>
  <si>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</si>
  <si>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</si>
  <si>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</si>
  <si>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</si>
  <si>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</si>
  <si>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</si>
  <si>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</si>
  <si>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</si>
  <si>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</si>
  <si>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</si>
  <si>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</si>
  <si>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</si>
  <si>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</si>
  <si>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</si>
  <si>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</si>
  <si>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</si>
  <si>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</si>
  <si>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</si>
  <si>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</si>
  <si>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</si>
  <si>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</si>
  <si>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</si>
  <si>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</si>
  <si>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</si>
  <si>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</si>
  <si>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</si>
  <si>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</si>
  <si>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</si>
  <si>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</si>
  <si>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</si>
  <si>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</si>
  <si>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</si>
  <si>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</si>
  <si>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</si>
  <si>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</si>
  <si>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</si>
  <si>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</si>
  <si>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</si>
  <si>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</si>
  <si>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</si>
  <si>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</si>
  <si>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</si>
  <si>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</si>
  <si>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</si>
  <si>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</si>
  <si>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</si>
  <si>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</si>
  <si>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</si>
  <si>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</si>
  <si>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</si>
  <si>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</si>
  <si>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</si>
  <si>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</si>
  <si>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</si>
  <si>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</si>
  <si>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</si>
  <si>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</si>
  <si>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</si>
  <si>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</si>
  <si>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</si>
  <si>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</si>
  <si>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</si>
  <si>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</si>
  <si>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</si>
  <si>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</si>
  <si>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</si>
  <si>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</si>
  <si>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</si>
  <si>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</si>
  <si>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</si>
  <si>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</si>
  <si>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</si>
  <si>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</si>
  <si>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</si>
  <si>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</si>
  <si>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</si>
  <si>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</si>
  <si>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</si>
  <si>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</si>
  <si>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</si>
  <si>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</si>
  <si>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</si>
  <si>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</si>
  <si>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</si>
  <si>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</si>
  <si>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</si>
  <si>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</si>
  <si>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</si>
  <si>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</si>
  <si>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</si>
  <si>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</si>
  <si>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</si>
  <si>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</si>
  <si>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</si>
  <si>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</si>
  <si>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</si>
  <si>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</si>
  <si>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</si>
  <si>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</si>
  <si>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</si>
  <si>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</si>
  <si>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</si>
  <si>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</si>
  <si>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</si>
  <si>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</si>
  <si>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</si>
  <si>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</si>
  <si>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</si>
  <si>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</si>
  <si>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</si>
  <si>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</si>
  <si>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</si>
  <si>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</si>
  <si>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</si>
  <si>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</si>
  <si>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</si>
  <si>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</si>
  <si>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</si>
  <si>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</si>
  <si>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</si>
  <si>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</si>
  <si>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</si>
  <si>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</si>
  <si>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</si>
  <si>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</si>
  <si>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</si>
  <si>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</si>
  <si>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</si>
  <si>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</si>
  <si>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</si>
  <si>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</si>
  <si>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</si>
  <si>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</si>
  <si>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</si>
  <si>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</si>
  <si>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</si>
  <si>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</si>
  <si>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</si>
  <si>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</si>
  <si>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</si>
  <si>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</si>
  <si>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</si>
  <si>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</si>
  <si>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</si>
  <si>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</si>
  <si>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</si>
  <si>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</si>
  <si>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</si>
  <si>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</si>
  <si>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</si>
  <si>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</si>
  <si>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</si>
  <si>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</si>
  <si>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</si>
  <si>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</si>
  <si>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</si>
  <si>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</si>
  <si>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</si>
  <si>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</si>
  <si>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</si>
  <si>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</si>
  <si>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</si>
  <si>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</si>
  <si>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</si>
  <si>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</si>
  <si>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</si>
  <si>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</si>
  <si>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</si>
  <si>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</si>
  <si>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</si>
  <si>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</si>
  <si>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</si>
  <si>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</si>
  <si>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</si>
  <si>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</si>
  <si>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</si>
  <si>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</si>
  <si>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</si>
  <si>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</si>
  <si>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</si>
  <si>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</si>
  <si>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</si>
  <si>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</si>
  <si>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</si>
  <si>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</si>
  <si>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</si>
  <si>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</si>
  <si>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</si>
  <si>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</si>
  <si>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</si>
  <si>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</si>
  <si>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</si>
  <si>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</si>
  <si>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</si>
  <si>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</si>
  <si>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</si>
  <si>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</si>
  <si>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</si>
  <si>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</si>
  <si>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</si>
  <si>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</si>
  <si>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</si>
  <si>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</si>
  <si>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</si>
  <si>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</si>
  <si>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</si>
  <si>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</si>
  <si>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</si>
  <si>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</si>
  <si>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</si>
  <si>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</si>
  <si>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</si>
  <si>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</si>
  <si>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</si>
  <si>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</si>
  <si>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</si>
  <si>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</si>
  <si>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</si>
  <si>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</si>
  <si>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</si>
  <si>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</si>
  <si>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</si>
  <si>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</si>
  <si>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</si>
  <si>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</si>
  <si>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</si>
  <si>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</si>
  <si>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</si>
  <si>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</si>
  <si>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</si>
  <si>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</si>
  <si>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</si>
  <si>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</si>
  <si>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</si>
  <si>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</si>
  <si>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</si>
  <si>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</si>
  <si>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</si>
  <si>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</si>
  <si>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</si>
  <si>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</si>
  <si>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</si>
  <si>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</si>
  <si>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</si>
  <si>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</si>
  <si>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</si>
  <si>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</si>
  <si>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</si>
  <si>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</si>
  <si>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</si>
  <si>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</si>
  <si>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</si>
  <si>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</si>
  <si>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</si>
  <si>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</si>
  <si>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</si>
  <si>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</si>
  <si>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</si>
  <si>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</si>
  <si>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</si>
  <si>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</si>
  <si>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</si>
  <si>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</si>
  <si>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</si>
  <si>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</si>
  <si>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</si>
  <si>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</si>
  <si>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</si>
  <si>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</si>
  <si>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</si>
  <si>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</si>
  <si>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</si>
  <si>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</si>
  <si>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</si>
  <si>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</si>
  <si>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</si>
  <si>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</si>
  <si>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</si>
  <si>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</si>
  <si>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</si>
  <si>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</si>
  <si>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</si>
  <si>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</si>
  <si>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</si>
  <si>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</si>
  <si>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</si>
  <si>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</si>
  <si>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</si>
  <si>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</si>
  <si>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</si>
  <si>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</si>
  <si>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</si>
  <si>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</si>
  <si>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</si>
  <si>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</si>
  <si>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</si>
  <si>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</si>
  <si>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</si>
  <si>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</si>
  <si>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</si>
  <si>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</si>
  <si>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</si>
  <si>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</si>
  <si>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</si>
  <si>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</si>
  <si>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</si>
  <si>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</si>
  <si>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</si>
  <si>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</si>
  <si>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</si>
  <si>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</si>
  <si>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</si>
  <si>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</si>
  <si>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</si>
  <si>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</si>
  <si>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</si>
  <si>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</si>
  <si>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</si>
  <si>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</si>
  <si>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</si>
  <si>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</si>
  <si>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</si>
  <si>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</si>
  <si>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</si>
  <si>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</si>
  <si>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</si>
  <si>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</si>
  <si>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</si>
  <si>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</si>
  <si>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</si>
  <si>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</si>
  <si>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</si>
  <si>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</si>
  <si>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</si>
  <si>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</si>
  <si>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</si>
  <si>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</si>
  <si>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</si>
  <si>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</si>
  <si>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</si>
  <si>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</si>
  <si>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</si>
  <si>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</si>
  <si>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</si>
  <si>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</si>
  <si>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</si>
  <si>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</si>
  <si>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</si>
  <si>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</si>
  <si>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</si>
  <si>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</si>
  <si>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</si>
  <si>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</si>
  <si>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</si>
  <si>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</si>
  <si>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</si>
  <si>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</si>
  <si>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</si>
  <si>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</si>
  <si>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</si>
  <si>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</si>
  <si>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</si>
  <si>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</si>
  <si>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</si>
  <si>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</si>
  <si>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</si>
  <si>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</si>
  <si>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</si>
  <si>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</si>
  <si>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</si>
  <si>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</si>
  <si>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</si>
  <si>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</si>
  <si>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</si>
  <si>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</si>
  <si>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</si>
  <si>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</si>
  <si>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</si>
  <si>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</si>
  <si>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</si>
  <si>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</si>
  <si>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</si>
  <si>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</si>
  <si>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</si>
  <si>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</si>
  <si>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</si>
  <si>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</si>
  <si>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</si>
  <si>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</si>
  <si>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</si>
  <si>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</si>
  <si>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</si>
  <si>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</si>
  <si>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</si>
  <si>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</si>
  <si>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</si>
  <si>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</si>
  <si>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</si>
  <si>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</si>
  <si>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</si>
  <si>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</si>
  <si>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</si>
  <si>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</si>
  <si>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</si>
  <si>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</si>
  <si>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</si>
  <si>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</si>
  <si>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</si>
  <si>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</si>
  <si>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</si>
  <si>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</si>
  <si>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</si>
  <si>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</si>
  <si>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</si>
  <si>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</si>
  <si>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</si>
  <si>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</si>
  <si>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</si>
  <si>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</si>
  <si>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</si>
  <si>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</si>
  <si>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</si>
  <si>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</si>
  <si>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</si>
  <si>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</si>
  <si>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</si>
  <si>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</si>
  <si>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</si>
  <si>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</si>
  <si>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</si>
  <si>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</si>
  <si>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</si>
  <si>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</si>
  <si>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</si>
  <si>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</si>
  <si>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</si>
  <si>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</si>
  <si>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</si>
  <si>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</si>
  <si>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</si>
  <si>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</si>
  <si>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</si>
  <si>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</si>
  <si>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</si>
  <si>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</si>
  <si>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</si>
  <si>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</si>
  <si>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</si>
  <si>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</si>
  <si>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</si>
  <si>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</si>
  <si>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</si>
  <si>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</si>
  <si>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</si>
  <si>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</si>
  <si>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</si>
  <si>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</si>
  <si>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</si>
  <si>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</si>
  <si>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</si>
  <si>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</si>
  <si>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</si>
  <si>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</si>
  <si>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</si>
  <si>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</si>
  <si>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</si>
  <si>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</si>
  <si>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</si>
  <si>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</si>
  <si>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</si>
  <si>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</si>
  <si>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</si>
  <si>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</si>
  <si>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</si>
  <si>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</si>
  <si>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</si>
  <si>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</si>
  <si>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</si>
  <si>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</si>
  <si>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</si>
  <si>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</si>
  <si>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</si>
  <si>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</si>
  <si>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</si>
  <si>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</si>
  <si>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</si>
  <si>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</si>
  <si>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</si>
  <si>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</si>
  <si>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</si>
  <si>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</si>
  <si>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</si>
  <si>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</si>
  <si>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</si>
  <si>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</si>
  <si>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</si>
  <si>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</si>
  <si>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</si>
  <si>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</si>
  <si>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</si>
  <si>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</si>
  <si>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</si>
  <si>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</si>
  <si>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</si>
  <si>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</si>
  <si>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</si>
  <si>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</si>
  <si>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</si>
  <si>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</si>
  <si>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</si>
  <si>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</si>
  <si>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</si>
  <si>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</si>
  <si>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</si>
  <si>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</si>
  <si>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</si>
  <si>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</si>
  <si>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</si>
  <si>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</si>
  <si>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</si>
  <si>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</si>
  <si>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</si>
  <si>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</si>
  <si>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</si>
  <si>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</si>
  <si>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</si>
  <si>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</si>
  <si>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</si>
  <si>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</si>
  <si>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</si>
  <si>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</si>
  <si>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</si>
  <si>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</si>
  <si>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</si>
  <si>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</si>
  <si>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</si>
  <si>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</si>
  <si>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</si>
  <si>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</si>
  <si>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</si>
  <si>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</si>
  <si>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</si>
  <si>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</si>
  <si>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</si>
  <si>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</si>
  <si>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</si>
  <si>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</si>
  <si>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</si>
  <si>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</si>
  <si>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</si>
  <si>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</si>
  <si>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</si>
  <si>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</si>
  <si>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</si>
  <si>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</si>
  <si>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</si>
  <si>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</si>
  <si>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</si>
  <si>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</si>
  <si>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</si>
  <si>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</si>
  <si>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</si>
  <si>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</si>
  <si>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</si>
  <si>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</si>
  <si>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</si>
  <si>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</si>
  <si>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</si>
  <si>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</si>
  <si>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</si>
  <si>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</si>
  <si>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</si>
  <si>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</si>
  <si>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</si>
  <si>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</si>
  <si>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</si>
  <si>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</si>
  <si>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</si>
  <si>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</si>
  <si>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</si>
  <si>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</si>
  <si>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</si>
  <si>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</si>
  <si>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</si>
  <si>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</si>
  <si>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</si>
  <si>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</si>
  <si>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</si>
  <si>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</si>
  <si>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</si>
  <si>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</si>
  <si>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</si>
  <si>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</si>
  <si>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</si>
  <si>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</si>
  <si>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</si>
  <si>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</si>
  <si>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</si>
  <si>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</si>
  <si>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</si>
  <si>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</si>
  <si>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</si>
  <si>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</si>
  <si>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</si>
  <si>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</si>
  <si>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</si>
  <si>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</si>
  <si>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</si>
  <si>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</si>
  <si>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</si>
  <si>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</si>
  <si>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</si>
  <si>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</si>
  <si>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</si>
  <si>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</si>
  <si>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</si>
  <si>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</si>
  <si>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</si>
  <si>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</si>
  <si>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</si>
  <si>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</si>
  <si>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</si>
  <si>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</si>
  <si>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</si>
  <si>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</si>
  <si>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</si>
  <si>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</si>
  <si>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</si>
  <si>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</si>
  <si>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</si>
  <si>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</si>
  <si>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</si>
  <si>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</si>
  <si>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</si>
  <si>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</si>
  <si>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</si>
  <si>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</si>
  <si>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</si>
  <si>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</si>
  <si>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</si>
  <si>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</si>
  <si>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</si>
  <si>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</si>
  <si>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</si>
  <si>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</si>
  <si>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</si>
  <si>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</si>
  <si>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</si>
  <si>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</si>
  <si>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</si>
  <si>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</si>
  <si>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</si>
  <si>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</si>
  <si>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</si>
  <si>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</si>
  <si>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</si>
  <si>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</si>
  <si>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</si>
  <si>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</si>
  <si>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</si>
  <si>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</si>
  <si>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</si>
  <si>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</si>
  <si>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</si>
  <si>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</si>
  <si>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</si>
  <si>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</si>
  <si>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</si>
  <si>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</si>
  <si>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</si>
  <si>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</si>
  <si>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</si>
  <si>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</si>
  <si>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</si>
  <si>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</si>
  <si>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</si>
  <si>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</si>
  <si>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</si>
  <si>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</si>
  <si>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</si>
  <si>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</si>
  <si>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</si>
  <si>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</si>
  <si>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</si>
  <si>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</si>
  <si>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</si>
  <si>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</si>
  <si>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</si>
  <si>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</si>
  <si>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</si>
  <si>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</si>
  <si>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</si>
  <si>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</si>
  <si>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</si>
  <si>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</si>
  <si>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</si>
  <si>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</si>
  <si>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</si>
  <si>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</si>
  <si>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</si>
  <si>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</si>
  <si>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</si>
  <si>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</si>
  <si>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</si>
  <si>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</si>
  <si>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</si>
  <si>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</si>
  <si>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</si>
  <si>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</si>
  <si>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</si>
  <si>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</si>
  <si>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</si>
  <si>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</si>
  <si>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</si>
  <si>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</si>
  <si>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</si>
  <si>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</si>
  <si>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</si>
  <si>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</si>
  <si>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</si>
  <si>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</si>
  <si>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</si>
  <si>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</si>
  <si>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</si>
  <si>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</si>
  <si>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</si>
  <si>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</si>
  <si>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</si>
  <si>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</si>
  <si>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</si>
  <si>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</si>
  <si>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</si>
  <si>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</si>
  <si>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</si>
  <si>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</si>
  <si>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</si>
  <si>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</si>
  <si>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</si>
  <si>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</si>
  <si>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</si>
  <si>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</si>
  <si>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</si>
  <si>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</si>
  <si>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</si>
  <si>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</si>
  <si>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</si>
  <si>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</si>
  <si>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</si>
  <si>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</si>
  <si>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</si>
  <si>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</si>
  <si>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</si>
  <si>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</si>
  <si>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</si>
  <si>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</si>
  <si>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</si>
  <si>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</si>
  <si>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</si>
  <si>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</si>
  <si>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</si>
  <si>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</si>
  <si>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</si>
  <si>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</si>
  <si>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</si>
  <si>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</si>
  <si>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</si>
  <si>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</si>
  <si>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</si>
  <si>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</si>
  <si>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</si>
  <si>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</si>
  <si>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</si>
  <si>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</si>
  <si>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</si>
  <si>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</si>
  <si>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</si>
  <si>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</si>
  <si>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</si>
  <si>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</si>
  <si>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</si>
  <si>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</si>
  <si>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</si>
  <si>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</si>
  <si>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</si>
  <si>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</si>
  <si>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</si>
  <si>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</si>
  <si>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</si>
  <si>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</si>
  <si>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</si>
  <si>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</si>
  <si>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</si>
  <si>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</si>
  <si>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</si>
  <si>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</si>
  <si>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</si>
  <si>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</si>
  <si>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</si>
  <si>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</si>
  <si>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</si>
  <si>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</si>
  <si>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</si>
  <si>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</si>
  <si>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</si>
  <si>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</si>
  <si>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</si>
  <si>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</si>
  <si>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</si>
  <si>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</si>
  <si>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</si>
  <si>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</si>
  <si>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</si>
  <si>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</si>
  <si>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</si>
  <si>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</si>
  <si>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</si>
  <si>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</si>
  <si>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</si>
  <si>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</si>
  <si>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</si>
  <si>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</si>
  <si>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</si>
  <si>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</si>
  <si>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</si>
  <si>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</si>
  <si>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</si>
  <si>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</si>
  <si>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</si>
  <si>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</si>
  <si>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</si>
  <si>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</si>
  <si>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</si>
  <si>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</si>
  <si>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</si>
  <si>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</si>
  <si>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</si>
  <si>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</si>
  <si>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</si>
  <si>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</si>
  <si>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</si>
  <si>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</si>
  <si>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</si>
  <si>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</si>
  <si>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</si>
  <si>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</si>
  <si>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</si>
  <si>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</si>
  <si>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</si>
  <si>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</si>
  <si>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</si>
  <si>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</si>
  <si>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</si>
  <si>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</si>
  <si>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</si>
  <si>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</si>
  <si>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</si>
  <si>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</si>
  <si>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</si>
  <si>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</si>
  <si>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</si>
  <si>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</si>
  <si>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</si>
  <si>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</si>
  <si>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</si>
  <si>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</si>
  <si>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</si>
  <si>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</si>
  <si>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</si>
  <si>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</si>
  <si>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</si>
  <si>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</si>
  <si>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</si>
  <si>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</si>
  <si>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</si>
  <si>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</si>
  <si>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</si>
  <si>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</si>
  <si>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</si>
  <si>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</si>
  <si>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</si>
  <si>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</si>
  <si>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</si>
  <si>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</si>
  <si>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</si>
  <si>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</si>
  <si>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</si>
  <si>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</si>
  <si>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</si>
  <si>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</si>
  <si>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</si>
  <si>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</si>
  <si>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</si>
  <si>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</si>
  <si>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</si>
  <si>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</si>
  <si>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</si>
  <si>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</si>
  <si>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</si>
  <si>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</si>
  <si>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</si>
  <si>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</si>
  <si>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</si>
  <si>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</si>
  <si>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</si>
  <si>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</si>
  <si>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</si>
  <si>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</si>
  <si>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</si>
  <si>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</si>
  <si>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</si>
  <si>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</si>
  <si>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</si>
  <si>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</si>
  <si>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</si>
  <si>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</si>
  <si>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</si>
  <si>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</si>
  <si>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</si>
  <si>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</si>
  <si>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</si>
  <si>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</si>
  <si>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</si>
  <si>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</si>
  <si>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</si>
  <si>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</si>
  <si>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</si>
  <si>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</si>
  <si>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</si>
  <si>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</si>
  <si>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</si>
  <si>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</si>
  <si>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</si>
  <si>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</si>
  <si>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</si>
  <si>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</si>
  <si>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</si>
  <si>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</si>
  <si>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</si>
  <si>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</si>
  <si>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</si>
  <si>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</si>
  <si>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</si>
  <si>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</si>
  <si>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</si>
  <si>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</si>
  <si>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</si>
  <si>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</si>
  <si>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</si>
  <si>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</si>
  <si>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</si>
  <si>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</si>
  <si>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</si>
  <si>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</si>
  <si>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</si>
  <si>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</si>
  <si>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</si>
  <si>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</si>
  <si>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</si>
  <si>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</si>
  <si>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</si>
  <si>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</si>
  <si>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</si>
  <si>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</si>
  <si>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</si>
  <si>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</si>
  <si>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</si>
  <si>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</si>
  <si>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</si>
  <si>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</si>
  <si>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</si>
  <si>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</si>
  <si>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</si>
  <si>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</si>
  <si>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</si>
  <si>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</si>
  <si>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</si>
  <si>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</si>
  <si>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</si>
  <si>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</si>
  <si>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</si>
  <si>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</si>
  <si>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</si>
  <si>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</si>
  <si>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</si>
  <si>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</si>
  <si>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</si>
  <si>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</si>
  <si>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</si>
  <si>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</si>
  <si>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</si>
  <si>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</si>
  <si>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</si>
  <si>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</si>
  <si>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</si>
  <si>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</si>
  <si>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</si>
  <si>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</si>
  <si>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</si>
  <si>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</si>
  <si>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</si>
  <si>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</si>
  <si>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</si>
  <si>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</si>
  <si>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</si>
  <si>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</si>
  <si>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</si>
  <si>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</si>
  <si>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</si>
  <si>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</si>
  <si>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</si>
  <si>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</si>
  <si>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</si>
  <si>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</si>
  <si>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</si>
  <si>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</si>
  <si>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</si>
  <si>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</si>
  <si>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</si>
  <si>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</si>
  <si>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</si>
  <si>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</si>
  <si>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</si>
  <si>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</si>
  <si>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</si>
  <si>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</si>
  <si>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</si>
  <si>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</si>
  <si>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</si>
  <si>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</si>
  <si>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</si>
  <si>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</si>
  <si>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</si>
  <si>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</si>
  <si>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</si>
  <si>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</si>
  <si>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</si>
  <si>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</si>
  <si>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</si>
  <si>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</si>
  <si>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</si>
  <si>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</si>
  <si>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</si>
  <si>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</si>
  <si>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</si>
  <si>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</si>
  <si>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</si>
  <si>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</si>
  <si>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</si>
  <si>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</si>
  <si>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</si>
  <si>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</si>
  <si>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</si>
  <si>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</si>
  <si>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</si>
  <si>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</si>
  <si>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</si>
  <si>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</si>
  <si>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</si>
  <si>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</si>
  <si>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</si>
  <si>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</si>
  <si>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</si>
  <si>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</si>
  <si>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</si>
  <si>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</si>
  <si>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</si>
  <si>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</si>
  <si>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</si>
  <si>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</si>
  <si>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</si>
  <si>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</si>
  <si>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</si>
  <si>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</si>
  <si>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</si>
  <si>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</si>
  <si>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</si>
  <si>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</si>
  <si>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</si>
  <si>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</si>
  <si>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</si>
  <si>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</si>
  <si>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</si>
  <si>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</si>
  <si>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</si>
  <si>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</si>
  <si>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</si>
  <si>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</si>
  <si>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</si>
  <si>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</si>
  <si>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</si>
  <si>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</si>
  <si>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</si>
  <si>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</si>
  <si>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</si>
  <si>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</si>
  <si>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</si>
  <si>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</si>
  <si>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</si>
  <si>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</si>
  <si>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</si>
  <si>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</si>
  <si>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</si>
  <si>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</si>
  <si>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</si>
  <si>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</si>
  <si>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</si>
  <si>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</si>
  <si>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</si>
  <si>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</si>
  <si>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</si>
  <si>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</si>
  <si>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</si>
  <si>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</si>
  <si>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</si>
  <si>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</si>
  <si>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</si>
  <si>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2021 y al 30 de junio de 2022 (b)</t>
  </si>
  <si>
    <t>Del 1 de enero al 30 de junio de 2022 (b)</t>
  </si>
  <si>
    <t>SISTEMA MUNICIPAL DE AGUA POTABLE Y ALCANTARILLADOS DE SAN JOSE ITURBIDE GUANAJUATO, GTO.</t>
  </si>
  <si>
    <t>00001 DIRECCION GENERAL</t>
  </si>
  <si>
    <t>00002 TESORERIA</t>
  </si>
  <si>
    <t>00003 DEPTO. TECNICA Y DE ESTUDIOS Y PROYECTOS</t>
  </si>
  <si>
    <t>00004 COMERCIAL</t>
  </si>
  <si>
    <t>00005 PLANTA DE TRATAMIENTO DE AGUAS RESIDUALE</t>
  </si>
  <si>
    <t>00006 CULTURA DEL AGUA</t>
  </si>
  <si>
    <t>00007 POZOSY C.A.</t>
  </si>
  <si>
    <t>00008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</si>
</sst>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152400</xdr:colOff>
          <xdr:row>4</xdr:row>
          <xdr:rowOff>323850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152400</xdr:colOff>
          <xdr:row>7</xdr:row>
          <xdr:rowOff>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152400</xdr:colOff>
          <xdr:row>10</xdr:row>
          <xdr:rowOff>323850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152400</xdr:colOff>
          <xdr:row>8</xdr:row>
          <xdr:rowOff>323850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9" t="s">
        <v>821</v>
      </c>
      <c r="B1" s="150"/>
      <c r="C1" s="150"/>
      <c r="D1" s="150"/>
      <c r="E1" s="151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2" t="s">
        <v>3296</v>
      </c>
      <c r="D3" s="152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152400</xdr:colOff>
                <xdr:row>4</xdr:row>
                <xdr:rowOff>323850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152400</xdr:colOff>
                <xdr:row>7</xdr:row>
                <xdr:rowOff>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152400</xdr:colOff>
                <xdr:row>10</xdr:row>
                <xdr:rowOff>323850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152400</xdr:colOff>
                <xdr:row>8</xdr:row>
                <xdr:rowOff>323850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activeCell="C23" sqref="C23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5" t="s">
        <v>534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5"/>
    </row>
    <row r="3" spans="1:11" x14ac:dyDescent="0.25">
      <c r="A3" s="156" t="s">
        <v>166</v>
      </c>
      <c r="B3" s="157"/>
      <c r="C3" s="157"/>
      <c r="D3" s="158"/>
    </row>
    <row r="4" spans="1:11" x14ac:dyDescent="0.25">
      <c r="A4" s="159" t="str">
        <f>TRIMESTRE</f>
        <v>Del 1 de enero al 30 de junio de 2022 (b)</v>
      </c>
      <c r="B4" s="160"/>
      <c r="C4" s="160"/>
      <c r="D4" s="161"/>
    </row>
    <row r="5" spans="1:11" x14ac:dyDescent="0.25">
      <c r="A5" s="162" t="s">
        <v>118</v>
      </c>
      <c r="B5" s="163"/>
      <c r="C5" s="163"/>
      <c r="D5" s="164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2</v>
      </c>
      <c r="C8" s="40">
        <f>SUM(C9:C11)</f>
        <v>2</v>
      </c>
      <c r="D8" s="40">
        <f>SUM(D9:D11)</f>
        <v>2</v>
      </c>
    </row>
    <row r="9" spans="1:11" x14ac:dyDescent="0.25">
      <c r="A9" s="53" t="s">
        <v>169</v>
      </c>
      <c r="B9" s="23">
        <v>1</v>
      </c>
      <c r="C9" s="23">
        <v>1</v>
      </c>
      <c r="D9" s="23">
        <v>1</v>
      </c>
    </row>
    <row r="10" spans="1:11" x14ac:dyDescent="0.25">
      <c r="A10" s="53" t="s">
        <v>170</v>
      </c>
      <c r="B10" s="23">
        <v>1</v>
      </c>
      <c r="C10" s="23">
        <v>1</v>
      </c>
      <c r="D10" s="23">
        <v>1</v>
      </c>
    </row>
    <row r="11" spans="1:11" x14ac:dyDescent="0.2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2</v>
      </c>
      <c r="C13" s="40">
        <f>C14+C15</f>
        <v>2</v>
      </c>
      <c r="D13" s="40">
        <f>D14+D15</f>
        <v>2</v>
      </c>
    </row>
    <row r="14" spans="1:11" x14ac:dyDescent="0.25">
      <c r="A14" s="53" t="s">
        <v>172</v>
      </c>
      <c r="B14" s="23">
        <v>1</v>
      </c>
      <c r="C14" s="23">
        <v>1</v>
      </c>
      <c r="D14" s="23">
        <v>1</v>
      </c>
    </row>
    <row r="15" spans="1:11" x14ac:dyDescent="0.25">
      <c r="A15" s="53" t="s">
        <v>173</v>
      </c>
      <c r="B15" s="23">
        <v>1</v>
      </c>
      <c r="C15" s="23">
        <v>1</v>
      </c>
      <c r="D15" s="23">
        <v>1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>C18+C19</f>
        <v>2</v>
      </c>
      <c r="D17" s="40">
        <f>D18+D19</f>
        <v>2</v>
      </c>
    </row>
    <row r="18" spans="1:4" x14ac:dyDescent="0.25">
      <c r="A18" s="53" t="s">
        <v>175</v>
      </c>
      <c r="B18" s="119">
        <v>0</v>
      </c>
      <c r="C18" s="23">
        <v>1</v>
      </c>
      <c r="D18" s="23">
        <v>1</v>
      </c>
    </row>
    <row r="19" spans="1:4" x14ac:dyDescent="0.25">
      <c r="A19" s="53" t="s">
        <v>176</v>
      </c>
      <c r="B19" s="119">
        <v>0</v>
      </c>
      <c r="C19" s="23">
        <v>1</v>
      </c>
      <c r="D19" s="117">
        <v>1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2</v>
      </c>
      <c r="D21" s="40">
        <f>D8-D13+D17</f>
        <v>2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>C21-C11</f>
        <v>2</v>
      </c>
      <c r="D23" s="40">
        <f>D21-D11</f>
        <v>2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>C23-C17</f>
        <v>0</v>
      </c>
      <c r="D25" s="40">
        <f>D23-D17</f>
        <v>0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2</v>
      </c>
      <c r="C29" s="61">
        <f>C30+C31</f>
        <v>2</v>
      </c>
      <c r="D29" s="61">
        <f>D30+D31</f>
        <v>2</v>
      </c>
    </row>
    <row r="30" spans="1:4" x14ac:dyDescent="0.25">
      <c r="A30" s="53" t="s">
        <v>187</v>
      </c>
      <c r="B30" s="60">
        <v>1</v>
      </c>
      <c r="C30" s="60">
        <v>1</v>
      </c>
      <c r="D30" s="60">
        <v>1</v>
      </c>
    </row>
    <row r="31" spans="1:4" x14ac:dyDescent="0.25">
      <c r="A31" s="53" t="s">
        <v>188</v>
      </c>
      <c r="B31" s="60">
        <v>1</v>
      </c>
      <c r="C31" s="60">
        <v>1</v>
      </c>
      <c r="D31" s="60">
        <v>1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2</v>
      </c>
      <c r="C33" s="61">
        <f>C25+C29</f>
        <v>2</v>
      </c>
      <c r="D33" s="61">
        <f>D25+D29</f>
        <v>2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2</v>
      </c>
      <c r="C37" s="61">
        <f>C38+C39</f>
        <v>2</v>
      </c>
      <c r="D37" s="61">
        <f>D38+D39</f>
        <v>2</v>
      </c>
    </row>
    <row r="38" spans="1:4" x14ac:dyDescent="0.25">
      <c r="A38" s="53" t="s">
        <v>192</v>
      </c>
      <c r="B38" s="60">
        <v>1</v>
      </c>
      <c r="C38" s="60">
        <v>1</v>
      </c>
      <c r="D38" s="60">
        <v>1</v>
      </c>
    </row>
    <row r="39" spans="1:4" x14ac:dyDescent="0.25">
      <c r="A39" s="53" t="s">
        <v>193</v>
      </c>
      <c r="B39" s="60">
        <v>1</v>
      </c>
      <c r="C39" s="60">
        <v>1</v>
      </c>
      <c r="D39" s="60">
        <v>1</v>
      </c>
    </row>
    <row r="40" spans="1:4" x14ac:dyDescent="0.25">
      <c r="A40" s="55" t="s">
        <v>194</v>
      </c>
      <c r="B40" s="61">
        <f>B41+B42</f>
        <v>2</v>
      </c>
      <c r="C40" s="61">
        <f>C41+C42</f>
        <v>2</v>
      </c>
      <c r="D40" s="61">
        <f>D41+D42</f>
        <v>2</v>
      </c>
    </row>
    <row r="41" spans="1:4" x14ac:dyDescent="0.25">
      <c r="A41" s="53" t="s">
        <v>195</v>
      </c>
      <c r="B41" s="60">
        <v>1</v>
      </c>
      <c r="C41" s="60">
        <v>1</v>
      </c>
      <c r="D41" s="60">
        <v>1</v>
      </c>
    </row>
    <row r="42" spans="1:4" x14ac:dyDescent="0.25">
      <c r="A42" s="53" t="s">
        <v>196</v>
      </c>
      <c r="B42" s="60">
        <v>1</v>
      </c>
      <c r="C42" s="60">
        <v>1</v>
      </c>
      <c r="D42" s="60">
        <v>1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</v>
      </c>
      <c r="C48" s="124">
        <f>C9</f>
        <v>1</v>
      </c>
      <c r="D48" s="124">
        <f>D9</f>
        <v>1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>
        <v>1</v>
      </c>
      <c r="C50" s="60">
        <v>1</v>
      </c>
      <c r="D50" s="60">
        <v>1</v>
      </c>
    </row>
    <row r="51" spans="1:4" x14ac:dyDescent="0.25">
      <c r="A51" s="128" t="s">
        <v>195</v>
      </c>
      <c r="B51" s="60">
        <v>1</v>
      </c>
      <c r="C51" s="60">
        <v>1</v>
      </c>
      <c r="D51" s="60">
        <v>1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</v>
      </c>
      <c r="C53" s="60">
        <f>C14</f>
        <v>1</v>
      </c>
      <c r="D53" s="60">
        <f>D14</f>
        <v>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1</v>
      </c>
      <c r="D55" s="60">
        <f>D18</f>
        <v>1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1</v>
      </c>
      <c r="D57" s="61">
        <f>D48+D49-D53+D55</f>
        <v>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>C57-C49</f>
        <v>1</v>
      </c>
      <c r="D59" s="61">
        <f>D57-D49</f>
        <v>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</v>
      </c>
      <c r="C63" s="122">
        <f>C10</f>
        <v>1</v>
      </c>
      <c r="D63" s="122">
        <f>D10</f>
        <v>1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>
        <v>1</v>
      </c>
      <c r="C65" s="23">
        <v>1</v>
      </c>
      <c r="D65" s="23">
        <v>1</v>
      </c>
    </row>
    <row r="66" spans="1:4" x14ac:dyDescent="0.25">
      <c r="A66" s="128" t="s">
        <v>196</v>
      </c>
      <c r="B66" s="23">
        <v>1</v>
      </c>
      <c r="C66" s="23">
        <v>1</v>
      </c>
      <c r="D66" s="23">
        <v>1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1</v>
      </c>
      <c r="C68" s="23">
        <f>C15</f>
        <v>1</v>
      </c>
      <c r="D68" s="23">
        <f>D15</f>
        <v>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1</v>
      </c>
      <c r="D70" s="23">
        <f>D19</f>
        <v>1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1</v>
      </c>
      <c r="D72" s="40">
        <f>D63+D64-D68+D70</f>
        <v>1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1</v>
      </c>
      <c r="D74" s="40">
        <f>D72-D64</f>
        <v>1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2</v>
      </c>
      <c r="Q2" s="18">
        <f>'Formato 4'!C8</f>
        <v>2</v>
      </c>
      <c r="R2" s="18">
        <f>'Formato 4'!D8</f>
        <v>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</v>
      </c>
      <c r="Q3" s="18">
        <f>'Formato 4'!C9</f>
        <v>1</v>
      </c>
      <c r="R3" s="18">
        <f>'Formato 4'!D9</f>
        <v>1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1</v>
      </c>
      <c r="Q4" s="18">
        <f>'Formato 4'!C10</f>
        <v>1</v>
      </c>
      <c r="R4" s="18">
        <f>'Formato 4'!D10</f>
        <v>1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2</v>
      </c>
      <c r="Q6" s="18">
        <f>'Formato 4'!C13</f>
        <v>2</v>
      </c>
      <c r="R6" s="18">
        <f>'Formato 4'!D13</f>
        <v>2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1</v>
      </c>
      <c r="Q7" s="18">
        <f>'Formato 4'!C14</f>
        <v>1</v>
      </c>
      <c r="R7" s="18">
        <f>'Formato 4'!D14</f>
        <v>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1</v>
      </c>
      <c r="Q8" s="18">
        <f>'Formato 4'!C15</f>
        <v>1</v>
      </c>
      <c r="R8" s="18">
        <f>'Formato 4'!D15</f>
        <v>1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2</v>
      </c>
      <c r="R9" s="18">
        <f>'Formato 4'!D17</f>
        <v>2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1</v>
      </c>
      <c r="R10" s="18">
        <f>'Formato 4'!D18</f>
        <v>1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1</v>
      </c>
      <c r="R11" s="18">
        <f>'Formato 4'!D19</f>
        <v>1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0</v>
      </c>
      <c r="Q12" s="18">
        <f>'Formato 4'!C21</f>
        <v>2</v>
      </c>
      <c r="R12" s="18">
        <f>'Formato 4'!D21</f>
        <v>2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0</v>
      </c>
      <c r="Q13" s="18">
        <f>'Formato 4'!C23</f>
        <v>2</v>
      </c>
      <c r="R13" s="18">
        <f>'Formato 4'!D23</f>
        <v>2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0</v>
      </c>
      <c r="Q14" s="18">
        <f>'Formato 4'!C25</f>
        <v>0</v>
      </c>
      <c r="R14" s="18">
        <f>'Formato 4'!D25</f>
        <v>0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2</v>
      </c>
      <c r="Q15">
        <f>'Formato 4'!C29</f>
        <v>2</v>
      </c>
      <c r="R15">
        <f>'Formato 4'!D29</f>
        <v>2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1</v>
      </c>
      <c r="Q16">
        <f>'Formato 4'!C30</f>
        <v>1</v>
      </c>
      <c r="R16">
        <f>'Formato 4'!D30</f>
        <v>1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1</v>
      </c>
      <c r="Q17">
        <f>'Formato 4'!C31</f>
        <v>1</v>
      </c>
      <c r="R17">
        <f>'Formato 4'!D31</f>
        <v>1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2</v>
      </c>
      <c r="Q18">
        <f>'Formato 4'!C33</f>
        <v>2</v>
      </c>
      <c r="R18">
        <f>'Formato 4'!D33</f>
        <v>2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2</v>
      </c>
      <c r="Q19">
        <f>'Formato 4'!C37</f>
        <v>2</v>
      </c>
      <c r="R19">
        <f>'Formato 4'!D37</f>
        <v>2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1</v>
      </c>
      <c r="Q20">
        <f>'Formato 4'!C38</f>
        <v>1</v>
      </c>
      <c r="R20">
        <f>'Formato 4'!D38</f>
        <v>1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1</v>
      </c>
      <c r="Q21">
        <f>'Formato 4'!C39</f>
        <v>1</v>
      </c>
      <c r="R21">
        <f>'Formato 4'!D39</f>
        <v>1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2</v>
      </c>
      <c r="Q22">
        <f>'Formato 4'!C40</f>
        <v>2</v>
      </c>
      <c r="R22">
        <f>'Formato 4'!D40</f>
        <v>2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1</v>
      </c>
      <c r="Q23">
        <f>'Formato 4'!C41</f>
        <v>1</v>
      </c>
      <c r="R23">
        <f>'Formato 4'!D41</f>
        <v>1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1</v>
      </c>
      <c r="Q24">
        <f>'Formato 4'!C42</f>
        <v>1</v>
      </c>
      <c r="R24">
        <f>'Formato 4'!D42</f>
        <v>1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</v>
      </c>
      <c r="Q26">
        <f>'Formato 4'!C48</f>
        <v>1</v>
      </c>
      <c r="R26">
        <f>'Formato 4'!D48</f>
        <v>1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1</v>
      </c>
      <c r="Q28">
        <f>'Formato 4'!C50</f>
        <v>1</v>
      </c>
      <c r="R28">
        <f>'Formato 4'!D50</f>
        <v>1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1</v>
      </c>
      <c r="Q29">
        <f>'Formato 4'!C51</f>
        <v>1</v>
      </c>
      <c r="R29">
        <f>'Formato 4'!D51</f>
        <v>1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1</v>
      </c>
      <c r="Q30">
        <f>'Formato 4'!C53</f>
        <v>1</v>
      </c>
      <c r="R30">
        <f>'Formato 4'!D53</f>
        <v>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1</v>
      </c>
      <c r="R31">
        <f>'Formato 4'!D55</f>
        <v>1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1</v>
      </c>
      <c r="Q32">
        <f>'Formato 4'!C63</f>
        <v>1</v>
      </c>
      <c r="R32">
        <f>'Formato 4'!D63</f>
        <v>1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1</v>
      </c>
      <c r="Q34">
        <f>'Formato 4'!C65</f>
        <v>1</v>
      </c>
      <c r="R34">
        <f>'Formato 4'!D65</f>
        <v>1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1</v>
      </c>
      <c r="Q35">
        <f>'Formato 4'!C66</f>
        <v>1</v>
      </c>
      <c r="R35">
        <f>'Formato 4'!D66</f>
        <v>1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1</v>
      </c>
      <c r="Q36">
        <f>'Formato 4'!C68</f>
        <v>1</v>
      </c>
      <c r="R36">
        <f>'Formato 4'!D68</f>
        <v>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1</v>
      </c>
      <c r="R37">
        <f>'Formato 4'!D70</f>
        <v>1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0</v>
      </c>
      <c r="Q38">
        <f>'Formato 4'!C72</f>
        <v>1</v>
      </c>
      <c r="R38">
        <f>'Formato 4'!D72</f>
        <v>1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0</v>
      </c>
      <c r="Q39">
        <f>'Formato 4'!C74</f>
        <v>1</v>
      </c>
      <c r="R39">
        <f>'Formato 4'!D74</f>
        <v>1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51" zoomScale="85" zoomScaleNormal="85" workbookViewId="0">
      <selection activeCell="B65" sqref="B6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x14ac:dyDescent="0.25">
      <c r="A4" s="159" t="str">
        <f>TRIMESTRE</f>
        <v>Del 1 de enero al 30 de junio de 2022 (b)</v>
      </c>
      <c r="B4" s="160"/>
      <c r="C4" s="160"/>
      <c r="D4" s="160"/>
      <c r="E4" s="160"/>
      <c r="F4" s="160"/>
      <c r="G4" s="161"/>
    </row>
    <row r="5" spans="1:8" x14ac:dyDescent="0.2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32224673.910000015</v>
      </c>
      <c r="C12" s="60">
        <v>5462920.4700000007</v>
      </c>
      <c r="D12" s="60">
        <v>37687594.380000018</v>
      </c>
      <c r="E12" s="60">
        <v>41169702.719999999</v>
      </c>
      <c r="F12" s="60">
        <v>41392468.049999982</v>
      </c>
      <c r="G12" s="60">
        <f t="shared" si="0"/>
        <v>9167794.1399999671</v>
      </c>
    </row>
    <row r="13" spans="1:8" x14ac:dyDescent="0.25">
      <c r="A13" s="53" t="s">
        <v>220</v>
      </c>
      <c r="B13" s="60">
        <v>0</v>
      </c>
      <c r="C13" s="60">
        <v>393621.31999999995</v>
      </c>
      <c r="D13" s="60">
        <v>393621.31999999995</v>
      </c>
      <c r="E13" s="60">
        <v>1456892.43</v>
      </c>
      <c r="F13" s="60">
        <v>1457282.46</v>
      </c>
      <c r="G13" s="60">
        <f t="shared" si="0"/>
        <v>1457282.46</v>
      </c>
    </row>
    <row r="14" spans="1:8" x14ac:dyDescent="0.25">
      <c r="A14" s="53" t="s">
        <v>221</v>
      </c>
      <c r="B14" s="60">
        <v>243305.39999999997</v>
      </c>
      <c r="C14" s="60">
        <v>883047.45000000007</v>
      </c>
      <c r="D14" s="60">
        <v>1126352.8500000001</v>
      </c>
      <c r="E14" s="60">
        <v>1124128.82</v>
      </c>
      <c r="F14" s="60">
        <v>1126352.8500000001</v>
      </c>
      <c r="G14" s="60">
        <f t="shared" si="0"/>
        <v>883047.45000000019</v>
      </c>
    </row>
    <row r="15" spans="1:8" x14ac:dyDescent="0.25">
      <c r="A15" s="53" t="s">
        <v>222</v>
      </c>
      <c r="B15" s="60">
        <v>4615726.0700000022</v>
      </c>
      <c r="C15" s="60">
        <v>-456673.78999999992</v>
      </c>
      <c r="D15" s="60">
        <v>4159052.2800000021</v>
      </c>
      <c r="E15" s="60">
        <v>4401251.7199999988</v>
      </c>
      <c r="F15" s="60">
        <v>4159052.2799999993</v>
      </c>
      <c r="G15" s="60">
        <f t="shared" si="0"/>
        <v>-456673.79000000283</v>
      </c>
    </row>
    <row r="16" spans="1:8" x14ac:dyDescent="0.25">
      <c r="A16" s="10" t="s">
        <v>275</v>
      </c>
      <c r="B16" s="60">
        <f t="shared" ref="B16:G16" si="1">SUM(B17:B27)</f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24">
        <v>0</v>
      </c>
      <c r="C23" s="60">
        <v>0</v>
      </c>
      <c r="D23" s="60">
        <v>0</v>
      </c>
      <c r="E23" s="60">
        <v>0</v>
      </c>
      <c r="F23" s="60">
        <v>0</v>
      </c>
      <c r="G23" s="60">
        <f>F23-B26</f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 t="shared" ref="B28:G28" si="3">SUM(B29:B33)</f>
        <v>0</v>
      </c>
      <c r="C28" s="60">
        <f t="shared" si="3"/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4"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4"/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4"/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v>0</v>
      </c>
      <c r="C35" s="60">
        <v>361593.55</v>
      </c>
      <c r="D35" s="60">
        <v>361593.55</v>
      </c>
      <c r="E35" s="60">
        <v>361593.55</v>
      </c>
      <c r="F35" s="60">
        <v>361593.55</v>
      </c>
      <c r="G35" s="60">
        <f t="shared" ref="G35" si="5">G36</f>
        <v>361593.55</v>
      </c>
    </row>
    <row r="36" spans="1:8" x14ac:dyDescent="0.25">
      <c r="A36" s="63" t="s">
        <v>242</v>
      </c>
      <c r="B36" s="60">
        <v>0</v>
      </c>
      <c r="C36" s="60">
        <v>361593.55</v>
      </c>
      <c r="D36" s="60">
        <v>361593.55</v>
      </c>
      <c r="E36" s="60">
        <v>361593.55</v>
      </c>
      <c r="F36" s="60">
        <v>361593.55</v>
      </c>
      <c r="G36" s="60">
        <f>F36-B36</f>
        <v>361593.55</v>
      </c>
    </row>
    <row r="37" spans="1:8" x14ac:dyDescent="0.25">
      <c r="A37" s="53" t="s">
        <v>243</v>
      </c>
      <c r="B37" s="60">
        <f>SUM(B38:B39)</f>
        <v>0</v>
      </c>
      <c r="C37" s="60">
        <f t="shared" ref="C37:G37" si="6">C38+C39</f>
        <v>367499</v>
      </c>
      <c r="D37" s="60">
        <f t="shared" si="6"/>
        <v>367499</v>
      </c>
      <c r="E37" s="60">
        <f t="shared" si="6"/>
        <v>367499</v>
      </c>
      <c r="F37" s="60">
        <f t="shared" si="6"/>
        <v>367499</v>
      </c>
      <c r="G37" s="60">
        <f t="shared" si="6"/>
        <v>367499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367499</v>
      </c>
      <c r="D39" s="60">
        <v>367499</v>
      </c>
      <c r="E39" s="60">
        <v>367499</v>
      </c>
      <c r="F39" s="60">
        <v>367499</v>
      </c>
      <c r="G39" s="60">
        <f>F39-B39</f>
        <v>367499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 t="shared" ref="B41:G41" si="7">SUM(B9,B10,B11,B12,B13,B14,B15,B16,B28,B34,B35,B37)</f>
        <v>37083705.380000018</v>
      </c>
      <c r="C41" s="61">
        <f t="shared" si="7"/>
        <v>7012008.0000000009</v>
      </c>
      <c r="D41" s="61">
        <f t="shared" si="7"/>
        <v>44095713.380000018</v>
      </c>
      <c r="E41" s="61">
        <f t="shared" si="7"/>
        <v>48881068.239999995</v>
      </c>
      <c r="F41" s="61">
        <f t="shared" si="7"/>
        <v>48864248.189999983</v>
      </c>
      <c r="G41" s="61">
        <f t="shared" si="7"/>
        <v>11780542.809999965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11780542.809999965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 t="shared" ref="B45:G45" si="8">SUM(B46:B53)</f>
        <v>0</v>
      </c>
      <c r="C45" s="60">
        <f t="shared" si="8"/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 t="shared" ref="B54:G54" si="10">SUM(B55:B58)</f>
        <v>0</v>
      </c>
      <c r="C54" s="60">
        <f t="shared" si="10"/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262</v>
      </c>
      <c r="B59" s="60">
        <f t="shared" ref="B59:G59" si="11">SUM(B60:B61)</f>
        <v>0</v>
      </c>
      <c r="C59" s="60">
        <f t="shared" si="11"/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2">B45+B54+B59+B62+B63</f>
        <v>0</v>
      </c>
      <c r="C65" s="61">
        <f t="shared" si="12"/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f t="shared" ref="G67" si="13">G68</f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 t="shared" ref="B70:G70" si="14">B41+B65+B67</f>
        <v>37083705.380000018</v>
      </c>
      <c r="C70" s="61">
        <f t="shared" si="14"/>
        <v>7012008.0000000009</v>
      </c>
      <c r="D70" s="61">
        <f t="shared" si="14"/>
        <v>44095713.380000018</v>
      </c>
      <c r="E70" s="61">
        <f t="shared" si="14"/>
        <v>48881068.239999995</v>
      </c>
      <c r="F70" s="61">
        <f t="shared" si="14"/>
        <v>48864248.189999983</v>
      </c>
      <c r="G70" s="61">
        <f t="shared" si="14"/>
        <v>11780542.809999965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 t="shared" ref="B75:G75" si="15">B73+B74</f>
        <v>0</v>
      </c>
      <c r="C75" s="61">
        <f t="shared" si="15"/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9:G75 B9:B22 B24:B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32224673.910000015</v>
      </c>
      <c r="Q6" s="18">
        <f>'Formato 5'!C12</f>
        <v>5462920.4700000007</v>
      </c>
      <c r="R6" s="18">
        <f>'Formato 5'!D12</f>
        <v>37687594.380000018</v>
      </c>
      <c r="S6" s="18">
        <f>'Formato 5'!E12</f>
        <v>41169702.719999999</v>
      </c>
      <c r="T6" s="18">
        <f>'Formato 5'!F12</f>
        <v>41392468.049999982</v>
      </c>
      <c r="U6" s="18">
        <f>'Formato 5'!G12</f>
        <v>9167794.1399999671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0</v>
      </c>
      <c r="Q7" s="18">
        <f>'Formato 5'!C13</f>
        <v>393621.31999999995</v>
      </c>
      <c r="R7" s="18">
        <f>'Formato 5'!D13</f>
        <v>393621.31999999995</v>
      </c>
      <c r="S7" s="18">
        <f>'Formato 5'!E13</f>
        <v>1456892.43</v>
      </c>
      <c r="T7" s="18">
        <f>'Formato 5'!F13</f>
        <v>1457282.46</v>
      </c>
      <c r="U7" s="18">
        <f>'Formato 5'!G13</f>
        <v>1457282.46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243305.39999999997</v>
      </c>
      <c r="Q8" s="18">
        <f>'Formato 5'!C14</f>
        <v>883047.45000000007</v>
      </c>
      <c r="R8" s="18">
        <f>'Formato 5'!D14</f>
        <v>1126352.8500000001</v>
      </c>
      <c r="S8" s="18">
        <f>'Formato 5'!E14</f>
        <v>1124128.82</v>
      </c>
      <c r="T8" s="18">
        <f>'Formato 5'!F14</f>
        <v>1126352.8500000001</v>
      </c>
      <c r="U8" s="18">
        <f>'Formato 5'!G14</f>
        <v>883047.45000000019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4615726.0700000022</v>
      </c>
      <c r="Q9" s="18">
        <f>'Formato 5'!C15</f>
        <v>-456673.78999999992</v>
      </c>
      <c r="R9" s="18">
        <f>'Formato 5'!D15</f>
        <v>4159052.2800000021</v>
      </c>
      <c r="S9" s="18">
        <f>'Formato 5'!E15</f>
        <v>4401251.7199999988</v>
      </c>
      <c r="T9" s="18">
        <f>'Formato 5'!F15</f>
        <v>4159052.2799999993</v>
      </c>
      <c r="U9" s="18">
        <f>'Formato 5'!G15</f>
        <v>-456673.79000000283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5'!B26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 t="e">
        <f>'Formato 5'!#REF!</f>
        <v>#REF!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361593.55</v>
      </c>
      <c r="R29" s="18">
        <f>'Formato 5'!D35</f>
        <v>361593.55</v>
      </c>
      <c r="S29" s="18">
        <f>'Formato 5'!E35</f>
        <v>361593.55</v>
      </c>
      <c r="T29" s="18">
        <f>'Formato 5'!F35</f>
        <v>361593.55</v>
      </c>
      <c r="U29" s="18">
        <f>'Formato 5'!G35</f>
        <v>361593.55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361593.55</v>
      </c>
      <c r="R30" s="18">
        <f>'Formato 5'!D36</f>
        <v>361593.55</v>
      </c>
      <c r="S30" s="18">
        <f>'Formato 5'!E36</f>
        <v>361593.55</v>
      </c>
      <c r="T30" s="18">
        <f>'Formato 5'!F36</f>
        <v>361593.55</v>
      </c>
      <c r="U30" s="18">
        <f>'Formato 5'!G36</f>
        <v>361593.55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367499</v>
      </c>
      <c r="R31" s="18">
        <f>'Formato 5'!D37</f>
        <v>367499</v>
      </c>
      <c r="S31" s="18">
        <f>'Formato 5'!E37</f>
        <v>367499</v>
      </c>
      <c r="T31" s="18">
        <f>'Formato 5'!F37</f>
        <v>367499</v>
      </c>
      <c r="U31" s="18">
        <f>'Formato 5'!G37</f>
        <v>367499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367499</v>
      </c>
      <c r="R33" s="18">
        <f>'Formato 5'!D39</f>
        <v>367499</v>
      </c>
      <c r="S33" s="18">
        <f>'Formato 5'!E39</f>
        <v>367499</v>
      </c>
      <c r="T33" s="18">
        <f>'Formato 5'!F39</f>
        <v>367499</v>
      </c>
      <c r="U33" s="18">
        <f>'Formato 5'!G39</f>
        <v>367499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37083705.380000018</v>
      </c>
      <c r="Q34">
        <f>'Formato 5'!C41</f>
        <v>7012008.0000000009</v>
      </c>
      <c r="R34">
        <f>'Formato 5'!D41</f>
        <v>44095713.380000018</v>
      </c>
      <c r="S34">
        <f>'Formato 5'!E41</f>
        <v>48881068.239999995</v>
      </c>
      <c r="T34">
        <f>'Formato 5'!F41</f>
        <v>48864248.189999983</v>
      </c>
      <c r="U34">
        <f>'Formato 5'!G41</f>
        <v>11780542.809999965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11780542.809999965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Normal="100" zoomScalePageLayoutView="90" workbookViewId="0">
      <selection activeCell="A10" sqref="A1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3277</v>
      </c>
      <c r="B1" s="171"/>
      <c r="C1" s="171"/>
      <c r="D1" s="171"/>
      <c r="E1" s="171"/>
      <c r="F1" s="171"/>
      <c r="G1" s="171"/>
    </row>
    <row r="2" spans="1:7" x14ac:dyDescent="0.25">
      <c r="A2" s="175" t="str">
        <f>ENTE_PUBLICO_A</f>
        <v>SISTEMA MUNICIPAL DE AGUA POTABLE Y ALCANTARILLADOS DE SAN JOSE ITURBIDE GUANAJUATO,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x14ac:dyDescent="0.25">
      <c r="A5" s="177" t="str">
        <f>TRIMESTRE</f>
        <v>Del 1 de enero al 30 de junio de 2022 (b)</v>
      </c>
      <c r="B5" s="177"/>
      <c r="C5" s="177"/>
      <c r="D5" s="177"/>
      <c r="E5" s="177"/>
      <c r="F5" s="177"/>
      <c r="G5" s="177"/>
    </row>
    <row r="6" spans="1:7" x14ac:dyDescent="0.2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x14ac:dyDescent="0.25">
      <c r="A9" s="82" t="s">
        <v>285</v>
      </c>
      <c r="B9" s="79">
        <f t="shared" ref="B9:G9" si="0">SUM(B10,B18,B28,B38,B48,B58,B62,B71,B75)</f>
        <v>37083705.380000003</v>
      </c>
      <c r="C9" s="79">
        <f t="shared" si="0"/>
        <v>7016457.0699999994</v>
      </c>
      <c r="D9" s="79">
        <f t="shared" si="0"/>
        <v>44100162.449999988</v>
      </c>
      <c r="E9" s="79">
        <f t="shared" si="0"/>
        <v>44444576.109999992</v>
      </c>
      <c r="F9" s="79">
        <f t="shared" si="0"/>
        <v>43689600.79999999</v>
      </c>
      <c r="G9" s="79">
        <f t="shared" si="0"/>
        <v>-344413.66000000009</v>
      </c>
    </row>
    <row r="10" spans="1:7" x14ac:dyDescent="0.25">
      <c r="A10" s="83" t="s">
        <v>286</v>
      </c>
      <c r="B10" s="80">
        <f t="shared" ref="B10:G10" si="1">SUM(B11:B17)</f>
        <v>17260315.630000003</v>
      </c>
      <c r="C10" s="80">
        <f t="shared" si="1"/>
        <v>-1108634.29</v>
      </c>
      <c r="D10" s="80">
        <f t="shared" si="1"/>
        <v>16151681.34</v>
      </c>
      <c r="E10" s="80">
        <f t="shared" si="1"/>
        <v>16151681.34</v>
      </c>
      <c r="F10" s="80">
        <f t="shared" si="1"/>
        <v>16151681.34</v>
      </c>
      <c r="G10" s="80">
        <f t="shared" si="1"/>
        <v>0</v>
      </c>
    </row>
    <row r="11" spans="1:7" x14ac:dyDescent="0.25">
      <c r="A11" s="84" t="s">
        <v>287</v>
      </c>
      <c r="B11" s="80">
        <v>9538336.8500000015</v>
      </c>
      <c r="C11" s="80">
        <v>-393550.14</v>
      </c>
      <c r="D11" s="80">
        <v>9144786.7100000009</v>
      </c>
      <c r="E11" s="80">
        <v>9144786.7100000009</v>
      </c>
      <c r="F11" s="80">
        <v>9144786.7100000009</v>
      </c>
      <c r="G11" s="80">
        <f t="shared" ref="G11:G17" si="2">D11-E11</f>
        <v>0</v>
      </c>
    </row>
    <row r="12" spans="1:7" x14ac:dyDescent="0.25">
      <c r="A12" s="84" t="s">
        <v>288</v>
      </c>
      <c r="B12" s="80">
        <v>229720.35</v>
      </c>
      <c r="C12" s="80">
        <v>-86847.41</v>
      </c>
      <c r="D12" s="80">
        <v>142872.94</v>
      </c>
      <c r="E12" s="80">
        <v>142872.94</v>
      </c>
      <c r="F12" s="80">
        <v>142872.94</v>
      </c>
      <c r="G12" s="80">
        <f t="shared" si="2"/>
        <v>0</v>
      </c>
    </row>
    <row r="13" spans="1:7" x14ac:dyDescent="0.25">
      <c r="A13" s="84" t="s">
        <v>289</v>
      </c>
      <c r="B13" s="80">
        <v>1369603.5</v>
      </c>
      <c r="C13" s="80">
        <v>-70642.500000000029</v>
      </c>
      <c r="D13" s="80">
        <v>1298961</v>
      </c>
      <c r="E13" s="80">
        <v>1298961</v>
      </c>
      <c r="F13" s="80">
        <v>1298961</v>
      </c>
      <c r="G13" s="80">
        <f t="shared" si="2"/>
        <v>0</v>
      </c>
    </row>
    <row r="14" spans="1:7" x14ac:dyDescent="0.25">
      <c r="A14" s="84" t="s">
        <v>290</v>
      </c>
      <c r="B14" s="80">
        <v>2292014.9300000002</v>
      </c>
      <c r="C14" s="80">
        <v>-161724.78000000003</v>
      </c>
      <c r="D14" s="80">
        <v>2130290.1500000004</v>
      </c>
      <c r="E14" s="80">
        <v>2130290.1500000004</v>
      </c>
      <c r="F14" s="80">
        <v>2130290.1500000004</v>
      </c>
      <c r="G14" s="80">
        <f t="shared" si="2"/>
        <v>0</v>
      </c>
    </row>
    <row r="15" spans="1:7" x14ac:dyDescent="0.25">
      <c r="A15" s="84" t="s">
        <v>291</v>
      </c>
      <c r="B15" s="80">
        <v>3830640</v>
      </c>
      <c r="C15" s="80">
        <v>-395869.45999999996</v>
      </c>
      <c r="D15" s="80">
        <v>3434770.54</v>
      </c>
      <c r="E15" s="80">
        <v>3434770.54</v>
      </c>
      <c r="F15" s="80">
        <v>3434770.54</v>
      </c>
      <c r="G15" s="80">
        <f t="shared" si="2"/>
        <v>0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 t="shared" ref="B18:G18" si="3">SUM(B19:B27)</f>
        <v>5602761.6500000004</v>
      </c>
      <c r="C18" s="80">
        <f t="shared" si="3"/>
        <v>2409302.35</v>
      </c>
      <c r="D18" s="80">
        <f t="shared" si="3"/>
        <v>8012064.0000000009</v>
      </c>
      <c r="E18" s="80">
        <f t="shared" si="3"/>
        <v>8012064.0000000009</v>
      </c>
      <c r="F18" s="80">
        <f t="shared" si="3"/>
        <v>7949038.3900000015</v>
      </c>
      <c r="G18" s="80">
        <f t="shared" si="3"/>
        <v>0</v>
      </c>
    </row>
    <row r="19" spans="1:7" x14ac:dyDescent="0.25">
      <c r="A19" s="84" t="s">
        <v>295</v>
      </c>
      <c r="B19" s="80">
        <v>388489</v>
      </c>
      <c r="C19" s="80">
        <v>39470.349999999991</v>
      </c>
      <c r="D19" s="80">
        <v>427959.35</v>
      </c>
      <c r="E19" s="80">
        <v>427959.34999999992</v>
      </c>
      <c r="F19" s="80">
        <v>427959.34999999992</v>
      </c>
      <c r="G19" s="80">
        <f>D19-E19</f>
        <v>0</v>
      </c>
    </row>
    <row r="20" spans="1:7" x14ac:dyDescent="0.25">
      <c r="A20" s="84" t="s">
        <v>296</v>
      </c>
      <c r="B20" s="80">
        <v>20380</v>
      </c>
      <c r="C20" s="80">
        <v>13511.19</v>
      </c>
      <c r="D20" s="80">
        <v>33891.19</v>
      </c>
      <c r="E20" s="80">
        <v>33891.189999999995</v>
      </c>
      <c r="F20" s="80">
        <v>33891.189999999995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3239891.59</v>
      </c>
      <c r="C22" s="80">
        <v>2324268.33</v>
      </c>
      <c r="D22" s="80">
        <v>5564159.9199999999</v>
      </c>
      <c r="E22" s="80">
        <v>5564159.9200000009</v>
      </c>
      <c r="F22" s="80">
        <v>5536148.4300000006</v>
      </c>
      <c r="G22" s="80">
        <f t="shared" si="4"/>
        <v>0</v>
      </c>
    </row>
    <row r="23" spans="1:7" x14ac:dyDescent="0.25">
      <c r="A23" s="84" t="s">
        <v>299</v>
      </c>
      <c r="B23" s="80">
        <v>285300</v>
      </c>
      <c r="C23" s="80">
        <v>77564.11</v>
      </c>
      <c r="D23" s="80">
        <v>362864.11</v>
      </c>
      <c r="E23" s="80">
        <v>362864.11</v>
      </c>
      <c r="F23" s="80">
        <v>362864.11</v>
      </c>
      <c r="G23" s="80">
        <f t="shared" si="4"/>
        <v>0</v>
      </c>
    </row>
    <row r="24" spans="1:7" x14ac:dyDescent="0.25">
      <c r="A24" s="84" t="s">
        <v>300</v>
      </c>
      <c r="B24" s="80">
        <v>1191021.06</v>
      </c>
      <c r="C24" s="80">
        <v>25400.680000000015</v>
      </c>
      <c r="D24" s="80">
        <v>1216421.74</v>
      </c>
      <c r="E24" s="80">
        <v>1216421.74</v>
      </c>
      <c r="F24" s="80">
        <v>1181407.6200000001</v>
      </c>
      <c r="G24" s="80">
        <f t="shared" si="4"/>
        <v>0</v>
      </c>
    </row>
    <row r="25" spans="1:7" x14ac:dyDescent="0.25">
      <c r="A25" s="84" t="s">
        <v>301</v>
      </c>
      <c r="B25" s="80">
        <v>291680</v>
      </c>
      <c r="C25" s="80">
        <v>47938.479999999989</v>
      </c>
      <c r="D25" s="80">
        <v>339618.48</v>
      </c>
      <c r="E25" s="80">
        <v>339618.48</v>
      </c>
      <c r="F25" s="80">
        <v>339618.48</v>
      </c>
      <c r="G25" s="80">
        <f t="shared" si="4"/>
        <v>0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186000</v>
      </c>
      <c r="C27" s="80">
        <v>-118850.79000000001</v>
      </c>
      <c r="D27" s="80">
        <v>67149.209999999992</v>
      </c>
      <c r="E27" s="80">
        <v>67149.210000000006</v>
      </c>
      <c r="F27" s="80">
        <v>67149.210000000006</v>
      </c>
      <c r="G27" s="80">
        <f t="shared" si="4"/>
        <v>0</v>
      </c>
    </row>
    <row r="28" spans="1:7" x14ac:dyDescent="0.25">
      <c r="A28" s="83" t="s">
        <v>304</v>
      </c>
      <c r="B28" s="80">
        <f t="shared" ref="B28:G28" si="5">SUM(B29:B37)</f>
        <v>12760457.6</v>
      </c>
      <c r="C28" s="80">
        <f t="shared" si="5"/>
        <v>2955530.75</v>
      </c>
      <c r="D28" s="80">
        <f t="shared" si="5"/>
        <v>15715988.35</v>
      </c>
      <c r="E28" s="80">
        <f t="shared" si="5"/>
        <v>15994002.010000002</v>
      </c>
      <c r="F28" s="80">
        <f t="shared" si="5"/>
        <v>15648452.309999999</v>
      </c>
      <c r="G28" s="80">
        <f t="shared" si="5"/>
        <v>-278013.65999999997</v>
      </c>
    </row>
    <row r="29" spans="1:7" x14ac:dyDescent="0.25">
      <c r="A29" s="84" t="s">
        <v>305</v>
      </c>
      <c r="B29" s="80">
        <v>8497485.5999999996</v>
      </c>
      <c r="C29" s="80">
        <v>-391473.26</v>
      </c>
      <c r="D29" s="80">
        <v>8106012.3399999999</v>
      </c>
      <c r="E29" s="80">
        <v>8110641.3399999999</v>
      </c>
      <c r="F29" s="80">
        <v>8101261.4199999999</v>
      </c>
      <c r="G29" s="80">
        <f>D29-E29</f>
        <v>-4629</v>
      </c>
    </row>
    <row r="30" spans="1:7" x14ac:dyDescent="0.25">
      <c r="A30" s="84" t="s">
        <v>306</v>
      </c>
      <c r="B30" s="80">
        <v>1082500</v>
      </c>
      <c r="C30" s="80">
        <v>369590.68999999994</v>
      </c>
      <c r="D30" s="80">
        <v>1452090.69</v>
      </c>
      <c r="E30" s="80">
        <v>1452090.69</v>
      </c>
      <c r="F30" s="80">
        <v>1398199.35</v>
      </c>
      <c r="G30" s="80">
        <f t="shared" ref="G30:G37" si="6">D30-E30</f>
        <v>0</v>
      </c>
    </row>
    <row r="31" spans="1:7" x14ac:dyDescent="0.25">
      <c r="A31" s="84" t="s">
        <v>307</v>
      </c>
      <c r="B31" s="80">
        <v>340000</v>
      </c>
      <c r="C31" s="80">
        <v>669513.78999999992</v>
      </c>
      <c r="D31" s="80">
        <v>1009513.7899999999</v>
      </c>
      <c r="E31" s="80">
        <v>1100513.79</v>
      </c>
      <c r="F31" s="80">
        <v>1009513.7899999999</v>
      </c>
      <c r="G31" s="80">
        <f t="shared" si="6"/>
        <v>-91000.000000000116</v>
      </c>
    </row>
    <row r="32" spans="1:7" x14ac:dyDescent="0.25">
      <c r="A32" s="84" t="s">
        <v>308</v>
      </c>
      <c r="B32" s="80">
        <v>201140</v>
      </c>
      <c r="C32" s="80">
        <v>177176.31</v>
      </c>
      <c r="D32" s="80">
        <v>378316.31</v>
      </c>
      <c r="E32" s="80">
        <v>424736.58999999997</v>
      </c>
      <c r="F32" s="80">
        <v>378316.31</v>
      </c>
      <c r="G32" s="80">
        <f t="shared" si="6"/>
        <v>-46420.27999999997</v>
      </c>
    </row>
    <row r="33" spans="1:7" x14ac:dyDescent="0.25">
      <c r="A33" s="84" t="s">
        <v>309</v>
      </c>
      <c r="B33" s="80">
        <v>1023500</v>
      </c>
      <c r="C33" s="80">
        <v>1543107.01</v>
      </c>
      <c r="D33" s="80">
        <v>2566607.0099999998</v>
      </c>
      <c r="E33" s="80">
        <v>2702571.3899999997</v>
      </c>
      <c r="F33" s="80">
        <v>2566607.0099999998</v>
      </c>
      <c r="G33" s="80">
        <f t="shared" si="6"/>
        <v>-135964.37999999989</v>
      </c>
    </row>
    <row r="34" spans="1:7" x14ac:dyDescent="0.25">
      <c r="A34" s="84" t="s">
        <v>310</v>
      </c>
      <c r="B34" s="80">
        <v>18000</v>
      </c>
      <c r="C34" s="80">
        <v>8410</v>
      </c>
      <c r="D34" s="80">
        <v>26410</v>
      </c>
      <c r="E34" s="80">
        <v>26410</v>
      </c>
      <c r="F34" s="80">
        <v>26410</v>
      </c>
      <c r="G34" s="80">
        <f t="shared" si="6"/>
        <v>0</v>
      </c>
    </row>
    <row r="35" spans="1:7" x14ac:dyDescent="0.25">
      <c r="A35" s="84" t="s">
        <v>311</v>
      </c>
      <c r="B35" s="80">
        <v>19000</v>
      </c>
      <c r="C35" s="80">
        <v>49880.150000000009</v>
      </c>
      <c r="D35" s="80">
        <v>68880.150000000009</v>
      </c>
      <c r="E35" s="80">
        <v>68880.150000000009</v>
      </c>
      <c r="F35" s="80">
        <v>68880.150000000009</v>
      </c>
      <c r="G35" s="80">
        <f t="shared" si="6"/>
        <v>0</v>
      </c>
    </row>
    <row r="36" spans="1:7" x14ac:dyDescent="0.25">
      <c r="A36" s="84" t="s">
        <v>312</v>
      </c>
      <c r="B36" s="80">
        <v>62832</v>
      </c>
      <c r="C36" s="80">
        <v>220590.48</v>
      </c>
      <c r="D36" s="80">
        <v>283422.48</v>
      </c>
      <c r="E36" s="80">
        <v>283422.48</v>
      </c>
      <c r="F36" s="80">
        <v>274528.7</v>
      </c>
      <c r="G36" s="80">
        <f t="shared" si="6"/>
        <v>0</v>
      </c>
    </row>
    <row r="37" spans="1:7" x14ac:dyDescent="0.25">
      <c r="A37" s="84" t="s">
        <v>313</v>
      </c>
      <c r="B37" s="80">
        <v>1516000</v>
      </c>
      <c r="C37" s="80">
        <v>308735.57999999996</v>
      </c>
      <c r="D37" s="80">
        <v>1824735.58</v>
      </c>
      <c r="E37" s="80">
        <v>1824735.58</v>
      </c>
      <c r="F37" s="80">
        <v>1824735.58</v>
      </c>
      <c r="G37" s="80">
        <f t="shared" si="6"/>
        <v>0</v>
      </c>
    </row>
    <row r="38" spans="1:7" x14ac:dyDescent="0.25">
      <c r="A38" s="83" t="s">
        <v>314</v>
      </c>
      <c r="B38" s="80">
        <f t="shared" ref="B38:G38" si="7">SUM(B39:B47)</f>
        <v>0</v>
      </c>
      <c r="C38" s="80">
        <f t="shared" si="7"/>
        <v>0</v>
      </c>
      <c r="D38" s="80">
        <f t="shared" si="7"/>
        <v>0</v>
      </c>
      <c r="E38" s="80">
        <f t="shared" si="7"/>
        <v>0</v>
      </c>
      <c r="F38" s="80">
        <f t="shared" si="7"/>
        <v>0</v>
      </c>
      <c r="G38" s="80">
        <f t="shared" si="7"/>
        <v>0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f t="shared" si="8"/>
        <v>0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8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 t="shared" ref="B48:G48" si="9">SUM(B49:B57)</f>
        <v>15000</v>
      </c>
      <c r="C48" s="80">
        <f t="shared" si="9"/>
        <v>3228632.4799999995</v>
      </c>
      <c r="D48" s="80">
        <f t="shared" si="9"/>
        <v>3243632.4799999995</v>
      </c>
      <c r="E48" s="80">
        <f t="shared" si="9"/>
        <v>3243632.48</v>
      </c>
      <c r="F48" s="80">
        <f t="shared" si="9"/>
        <v>2963632.48</v>
      </c>
      <c r="G48" s="80">
        <f t="shared" si="9"/>
        <v>0</v>
      </c>
    </row>
    <row r="49" spans="1:7" x14ac:dyDescent="0.25">
      <c r="A49" s="84" t="s">
        <v>325</v>
      </c>
      <c r="B49" s="80">
        <v>0</v>
      </c>
      <c r="C49" s="80">
        <v>302346.03999999998</v>
      </c>
      <c r="D49" s="80">
        <v>302346.03999999998</v>
      </c>
      <c r="E49" s="80">
        <v>302346.03999999998</v>
      </c>
      <c r="F49" s="80">
        <v>302346.03999999998</v>
      </c>
      <c r="G49" s="80">
        <f>D49-E49</f>
        <v>0</v>
      </c>
    </row>
    <row r="50" spans="1:7" x14ac:dyDescent="0.25">
      <c r="A50" s="84" t="s">
        <v>326</v>
      </c>
      <c r="B50" s="80">
        <v>15000</v>
      </c>
      <c r="C50" s="80">
        <v>-15000</v>
      </c>
      <c r="D50" s="80">
        <v>0</v>
      </c>
      <c r="E50" s="80">
        <v>0</v>
      </c>
      <c r="F50" s="80">
        <v>0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0</v>
      </c>
      <c r="C52" s="80">
        <v>1250499.9999999995</v>
      </c>
      <c r="D52" s="80">
        <v>1250499.9999999995</v>
      </c>
      <c r="E52" s="80">
        <v>1250500</v>
      </c>
      <c r="F52" s="80">
        <v>1250500</v>
      </c>
      <c r="G52" s="80">
        <f t="shared" si="10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0</v>
      </c>
      <c r="C54" s="80">
        <v>990786.43999999983</v>
      </c>
      <c r="D54" s="80">
        <v>990786.43999999983</v>
      </c>
      <c r="E54" s="80">
        <v>990786.44000000006</v>
      </c>
      <c r="F54" s="80">
        <v>990786.44000000006</v>
      </c>
      <c r="G54" s="80">
        <f t="shared" si="10"/>
        <v>0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0"/>
        <v>0</v>
      </c>
    </row>
    <row r="57" spans="1:7" x14ac:dyDescent="0.25">
      <c r="A57" s="84" t="s">
        <v>333</v>
      </c>
      <c r="B57" s="80">
        <v>0</v>
      </c>
      <c r="C57" s="80">
        <v>700000</v>
      </c>
      <c r="D57" s="80">
        <v>700000</v>
      </c>
      <c r="E57" s="80">
        <v>700000</v>
      </c>
      <c r="F57" s="80">
        <v>420000</v>
      </c>
      <c r="G57" s="80">
        <f t="shared" si="10"/>
        <v>0</v>
      </c>
    </row>
    <row r="58" spans="1:7" x14ac:dyDescent="0.25">
      <c r="A58" s="83" t="s">
        <v>334</v>
      </c>
      <c r="B58" s="80">
        <f t="shared" ref="B58:G58" si="11">SUM(B59:B61)</f>
        <v>1445170.5</v>
      </c>
      <c r="C58" s="80">
        <f t="shared" si="11"/>
        <v>-697302.02</v>
      </c>
      <c r="D58" s="80">
        <f t="shared" si="11"/>
        <v>747868.48</v>
      </c>
      <c r="E58" s="80">
        <f t="shared" si="11"/>
        <v>814268.4800000001</v>
      </c>
      <c r="F58" s="80">
        <f t="shared" si="11"/>
        <v>747868.48</v>
      </c>
      <c r="G58" s="80">
        <f t="shared" si="11"/>
        <v>-66400.000000000116</v>
      </c>
    </row>
    <row r="59" spans="1:7" x14ac:dyDescent="0.25">
      <c r="A59" s="84" t="s">
        <v>335</v>
      </c>
      <c r="B59" s="80">
        <v>1445170.5</v>
      </c>
      <c r="C59" s="80">
        <v>-697302.02</v>
      </c>
      <c r="D59" s="80">
        <v>747868.48</v>
      </c>
      <c r="E59" s="80">
        <v>814268.4800000001</v>
      </c>
      <c r="F59" s="80">
        <v>747868.48</v>
      </c>
      <c r="G59" s="80">
        <f>D59-E59</f>
        <v>-66400.000000000116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>D60-E60</f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>D61-E61</f>
        <v>0</v>
      </c>
    </row>
    <row r="62" spans="1:7" x14ac:dyDescent="0.25">
      <c r="A62" s="83" t="s">
        <v>338</v>
      </c>
      <c r="B62" s="80">
        <f t="shared" ref="B62:G62" si="12">SUM(B63:B67,B69:B70)</f>
        <v>0</v>
      </c>
      <c r="C62" s="80">
        <f t="shared" si="12"/>
        <v>0</v>
      </c>
      <c r="D62" s="80">
        <f t="shared" si="12"/>
        <v>0</v>
      </c>
      <c r="E62" s="80">
        <f t="shared" si="12"/>
        <v>0</v>
      </c>
      <c r="F62" s="80">
        <f t="shared" si="12"/>
        <v>0</v>
      </c>
      <c r="G62" s="80">
        <f t="shared" si="12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3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3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3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3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3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3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3"/>
        <v>0</v>
      </c>
    </row>
    <row r="71" spans="1:7" x14ac:dyDescent="0.25">
      <c r="A71" s="83" t="s">
        <v>347</v>
      </c>
      <c r="B71" s="80">
        <f t="shared" ref="B71:G71" si="14">SUM(B72:B74)</f>
        <v>0</v>
      </c>
      <c r="C71" s="80">
        <f t="shared" si="14"/>
        <v>0</v>
      </c>
      <c r="D71" s="80">
        <f t="shared" si="14"/>
        <v>0</v>
      </c>
      <c r="E71" s="80">
        <f t="shared" si="14"/>
        <v>0</v>
      </c>
      <c r="F71" s="80">
        <f t="shared" si="14"/>
        <v>0</v>
      </c>
      <c r="G71" s="80">
        <f t="shared" si="14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>D74-E74</f>
        <v>0</v>
      </c>
    </row>
    <row r="75" spans="1:7" x14ac:dyDescent="0.25">
      <c r="A75" s="83" t="s">
        <v>351</v>
      </c>
      <c r="B75" s="80">
        <f t="shared" ref="B75:G75" si="15">SUM(B76:B82)</f>
        <v>0</v>
      </c>
      <c r="C75" s="80">
        <f t="shared" si="15"/>
        <v>228927.8</v>
      </c>
      <c r="D75" s="80">
        <f t="shared" si="15"/>
        <v>228927.8</v>
      </c>
      <c r="E75" s="80">
        <f t="shared" si="15"/>
        <v>228927.8</v>
      </c>
      <c r="F75" s="80">
        <f t="shared" si="15"/>
        <v>228927.8</v>
      </c>
      <c r="G75" s="80">
        <f t="shared" si="15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6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6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6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6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6"/>
        <v>0</v>
      </c>
    </row>
    <row r="82" spans="1:7" x14ac:dyDescent="0.25">
      <c r="A82" s="84" t="s">
        <v>358</v>
      </c>
      <c r="B82" s="80">
        <v>0</v>
      </c>
      <c r="C82" s="80">
        <v>228927.8</v>
      </c>
      <c r="D82" s="80">
        <v>228927.8</v>
      </c>
      <c r="E82" s="80">
        <v>228927.8</v>
      </c>
      <c r="F82" s="80">
        <v>228927.8</v>
      </c>
      <c r="G82" s="80">
        <f t="shared" si="16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7">SUM(B85,B93,B103,B113,B123,B133,B137,B146,B150)</f>
        <v>0</v>
      </c>
      <c r="C84" s="79">
        <f t="shared" si="17"/>
        <v>0</v>
      </c>
      <c r="D84" s="79">
        <f t="shared" si="17"/>
        <v>0</v>
      </c>
      <c r="E84" s="79">
        <f t="shared" si="17"/>
        <v>0</v>
      </c>
      <c r="F84" s="79">
        <f t="shared" si="17"/>
        <v>0</v>
      </c>
      <c r="G84" s="79">
        <f t="shared" si="17"/>
        <v>0</v>
      </c>
    </row>
    <row r="85" spans="1:7" x14ac:dyDescent="0.25">
      <c r="A85" s="83" t="s">
        <v>286</v>
      </c>
      <c r="B85" s="80">
        <f t="shared" ref="B85:G85" si="18">SUM(B86:B92)</f>
        <v>0</v>
      </c>
      <c r="C85" s="80">
        <f t="shared" si="18"/>
        <v>0</v>
      </c>
      <c r="D85" s="80">
        <f t="shared" si="18"/>
        <v>0</v>
      </c>
      <c r="E85" s="80">
        <f t="shared" si="18"/>
        <v>0</v>
      </c>
      <c r="F85" s="80">
        <f t="shared" si="18"/>
        <v>0</v>
      </c>
      <c r="G85" s="80">
        <f t="shared" si="18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19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19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19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19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9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9"/>
        <v>0</v>
      </c>
    </row>
    <row r="93" spans="1:7" x14ac:dyDescent="0.25">
      <c r="A93" s="83" t="s">
        <v>294</v>
      </c>
      <c r="B93" s="80">
        <f t="shared" ref="B93:G93" si="20">SUM(B94:B102)</f>
        <v>0</v>
      </c>
      <c r="C93" s="80">
        <f t="shared" si="20"/>
        <v>0</v>
      </c>
      <c r="D93" s="80">
        <f t="shared" si="20"/>
        <v>0</v>
      </c>
      <c r="E93" s="80">
        <f t="shared" si="20"/>
        <v>0</v>
      </c>
      <c r="F93" s="80">
        <f t="shared" si="20"/>
        <v>0</v>
      </c>
      <c r="G93" s="80">
        <f t="shared" si="20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1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1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1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1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1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1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1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1"/>
        <v>0</v>
      </c>
    </row>
    <row r="103" spans="1:7" x14ac:dyDescent="0.25">
      <c r="A103" s="83" t="s">
        <v>304</v>
      </c>
      <c r="B103" s="80">
        <f t="shared" ref="B103:G103" si="22">SUM(B104:B112)</f>
        <v>0</v>
      </c>
      <c r="C103" s="80">
        <f t="shared" si="22"/>
        <v>0</v>
      </c>
      <c r="D103" s="80">
        <f t="shared" si="22"/>
        <v>0</v>
      </c>
      <c r="E103" s="80">
        <f t="shared" si="22"/>
        <v>0</v>
      </c>
      <c r="F103" s="80">
        <f t="shared" si="22"/>
        <v>0</v>
      </c>
      <c r="G103" s="80">
        <f t="shared" si="22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3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3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3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3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3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3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3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3"/>
        <v>0</v>
      </c>
    </row>
    <row r="113" spans="1:7" x14ac:dyDescent="0.25">
      <c r="A113" s="83" t="s">
        <v>314</v>
      </c>
      <c r="B113" s="80">
        <f t="shared" ref="B113:G113" si="24">SUM(B114:B122)</f>
        <v>0</v>
      </c>
      <c r="C113" s="80">
        <f t="shared" si="24"/>
        <v>0</v>
      </c>
      <c r="D113" s="80">
        <f t="shared" si="24"/>
        <v>0</v>
      </c>
      <c r="E113" s="80">
        <f t="shared" si="24"/>
        <v>0</v>
      </c>
      <c r="F113" s="80">
        <f t="shared" si="24"/>
        <v>0</v>
      </c>
      <c r="G113" s="80">
        <f t="shared" si="24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5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5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5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5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5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5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5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5"/>
        <v>0</v>
      </c>
    </row>
    <row r="123" spans="1:7" x14ac:dyDescent="0.25">
      <c r="A123" s="83" t="s">
        <v>324</v>
      </c>
      <c r="B123" s="80">
        <f t="shared" ref="B123:G123" si="26">SUM(B124:B132)</f>
        <v>0</v>
      </c>
      <c r="C123" s="80">
        <f t="shared" si="26"/>
        <v>0</v>
      </c>
      <c r="D123" s="80">
        <f t="shared" si="26"/>
        <v>0</v>
      </c>
      <c r="E123" s="80">
        <f t="shared" si="26"/>
        <v>0</v>
      </c>
      <c r="F123" s="80">
        <f t="shared" si="26"/>
        <v>0</v>
      </c>
      <c r="G123" s="80">
        <f t="shared" si="26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7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7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7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7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7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7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7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7"/>
        <v>0</v>
      </c>
    </row>
    <row r="133" spans="1:7" x14ac:dyDescent="0.25">
      <c r="A133" s="83" t="s">
        <v>334</v>
      </c>
      <c r="B133" s="80">
        <f t="shared" ref="B133:G133" si="28">SUM(B134:B136)</f>
        <v>0</v>
      </c>
      <c r="C133" s="80">
        <f t="shared" si="28"/>
        <v>0</v>
      </c>
      <c r="D133" s="80">
        <f t="shared" si="28"/>
        <v>0</v>
      </c>
      <c r="E133" s="80">
        <f t="shared" si="28"/>
        <v>0</v>
      </c>
      <c r="F133" s="80">
        <f t="shared" si="28"/>
        <v>0</v>
      </c>
      <c r="G133" s="80">
        <f t="shared" si="28"/>
        <v>0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>D136-E136</f>
        <v>0</v>
      </c>
    </row>
    <row r="137" spans="1:7" x14ac:dyDescent="0.25">
      <c r="A137" s="83" t="s">
        <v>338</v>
      </c>
      <c r="B137" s="80">
        <f t="shared" ref="B137:G137" si="29">SUM(B138:B142,B144:B145)</f>
        <v>0</v>
      </c>
      <c r="C137" s="80">
        <f t="shared" si="29"/>
        <v>0</v>
      </c>
      <c r="D137" s="80">
        <f t="shared" si="29"/>
        <v>0</v>
      </c>
      <c r="E137" s="80">
        <f t="shared" si="29"/>
        <v>0</v>
      </c>
      <c r="F137" s="80">
        <f t="shared" si="29"/>
        <v>0</v>
      </c>
      <c r="G137" s="80">
        <f t="shared" si="29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0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0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0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0"/>
        <v>0</v>
      </c>
    </row>
    <row r="143" spans="1:7" x14ac:dyDescent="0.25">
      <c r="A143" s="84" t="s">
        <v>3293</v>
      </c>
      <c r="B143" s="80">
        <v>0</v>
      </c>
      <c r="C143" s="80">
        <v>1</v>
      </c>
      <c r="D143" s="80">
        <v>3</v>
      </c>
      <c r="E143" s="80">
        <v>1</v>
      </c>
      <c r="F143" s="80">
        <v>1</v>
      </c>
      <c r="G143" s="80">
        <f t="shared" si="30"/>
        <v>2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0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0"/>
        <v>0</v>
      </c>
    </row>
    <row r="146" spans="1:7" x14ac:dyDescent="0.25">
      <c r="A146" s="83" t="s">
        <v>347</v>
      </c>
      <c r="B146" s="80">
        <f t="shared" ref="B146:G146" si="31">SUM(B147:B149)</f>
        <v>0</v>
      </c>
      <c r="C146" s="80">
        <f t="shared" si="31"/>
        <v>0</v>
      </c>
      <c r="D146" s="80">
        <f t="shared" si="31"/>
        <v>0</v>
      </c>
      <c r="E146" s="80">
        <f t="shared" si="31"/>
        <v>0</v>
      </c>
      <c r="F146" s="80">
        <f t="shared" si="31"/>
        <v>0</v>
      </c>
      <c r="G146" s="80">
        <f t="shared" si="31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>D149-E149</f>
        <v>0</v>
      </c>
    </row>
    <row r="150" spans="1:7" x14ac:dyDescent="0.25">
      <c r="A150" s="83" t="s">
        <v>351</v>
      </c>
      <c r="B150" s="80">
        <f t="shared" ref="B150:G150" si="32">SUM(B151:B157)</f>
        <v>0</v>
      </c>
      <c r="C150" s="80">
        <f t="shared" si="32"/>
        <v>0</v>
      </c>
      <c r="D150" s="80">
        <f t="shared" si="32"/>
        <v>0</v>
      </c>
      <c r="E150" s="80">
        <f t="shared" si="32"/>
        <v>0</v>
      </c>
      <c r="F150" s="80">
        <f t="shared" si="32"/>
        <v>0</v>
      </c>
      <c r="G150" s="80">
        <f t="shared" si="32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3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3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3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3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3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3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 t="shared" ref="B159:G159" si="34">B9+B84</f>
        <v>37083705.380000003</v>
      </c>
      <c r="C159" s="79">
        <f t="shared" si="34"/>
        <v>7016457.0699999994</v>
      </c>
      <c r="D159" s="79">
        <f t="shared" si="34"/>
        <v>44100162.449999988</v>
      </c>
      <c r="E159" s="79">
        <f t="shared" si="34"/>
        <v>44444576.109999992</v>
      </c>
      <c r="F159" s="79">
        <f t="shared" si="34"/>
        <v>43689600.79999999</v>
      </c>
      <c r="G159" s="79">
        <f t="shared" si="34"/>
        <v>-344413.66000000009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37083705.380000003</v>
      </c>
      <c r="Q2" s="18">
        <f>'Formato 6 a)'!C9</f>
        <v>7016457.0699999994</v>
      </c>
      <c r="R2" s="18">
        <f>'Formato 6 a)'!D9</f>
        <v>44100162.449999988</v>
      </c>
      <c r="S2" s="18">
        <f>'Formato 6 a)'!E9</f>
        <v>44444576.109999992</v>
      </c>
      <c r="T2" s="18">
        <f>'Formato 6 a)'!F9</f>
        <v>43689600.79999999</v>
      </c>
      <c r="U2" s="18">
        <f>'Formato 6 a)'!G9</f>
        <v>-344413.66000000009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17260315.630000003</v>
      </c>
      <c r="Q3" s="18">
        <f>'Formato 6 a)'!C10</f>
        <v>-1108634.29</v>
      </c>
      <c r="R3" s="18">
        <f>'Formato 6 a)'!D10</f>
        <v>16151681.34</v>
      </c>
      <c r="S3" s="18">
        <f>'Formato 6 a)'!E10</f>
        <v>16151681.34</v>
      </c>
      <c r="T3" s="18">
        <f>'Formato 6 a)'!F10</f>
        <v>16151681.34</v>
      </c>
      <c r="U3" s="18">
        <f>'Formato 6 a)'!G10</f>
        <v>0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9538336.8500000015</v>
      </c>
      <c r="Q4" s="18">
        <f>'Formato 6 a)'!C11</f>
        <v>-393550.14</v>
      </c>
      <c r="R4" s="18">
        <f>'Formato 6 a)'!D11</f>
        <v>9144786.7100000009</v>
      </c>
      <c r="S4" s="18">
        <f>'Formato 6 a)'!E11</f>
        <v>9144786.7100000009</v>
      </c>
      <c r="T4" s="18">
        <f>'Formato 6 a)'!F11</f>
        <v>9144786.7100000009</v>
      </c>
      <c r="U4" s="18">
        <f>'Formato 6 a)'!G11</f>
        <v>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229720.35</v>
      </c>
      <c r="Q5" s="18">
        <f>'Formato 6 a)'!C12</f>
        <v>-86847.41</v>
      </c>
      <c r="R5" s="18">
        <f>'Formato 6 a)'!D12</f>
        <v>142872.94</v>
      </c>
      <c r="S5" s="18">
        <f>'Formato 6 a)'!E12</f>
        <v>142872.94</v>
      </c>
      <c r="T5" s="18">
        <f>'Formato 6 a)'!F12</f>
        <v>142872.94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1369603.5</v>
      </c>
      <c r="Q6" s="18">
        <f>'Formato 6 a)'!C13</f>
        <v>-70642.500000000029</v>
      </c>
      <c r="R6" s="18">
        <f>'Formato 6 a)'!D13</f>
        <v>1298961</v>
      </c>
      <c r="S6" s="18">
        <f>'Formato 6 a)'!E13</f>
        <v>1298961</v>
      </c>
      <c r="T6" s="18">
        <f>'Formato 6 a)'!F13</f>
        <v>1298961</v>
      </c>
      <c r="U6" s="18">
        <f>'Formato 6 a)'!G13</f>
        <v>0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2292014.9300000002</v>
      </c>
      <c r="Q7" s="18">
        <f>'Formato 6 a)'!C14</f>
        <v>-161724.78000000003</v>
      </c>
      <c r="R7" s="18">
        <f>'Formato 6 a)'!D14</f>
        <v>2130290.1500000004</v>
      </c>
      <c r="S7" s="18">
        <f>'Formato 6 a)'!E14</f>
        <v>2130290.1500000004</v>
      </c>
      <c r="T7" s="18">
        <f>'Formato 6 a)'!F14</f>
        <v>2130290.1500000004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3830640</v>
      </c>
      <c r="Q8" s="18">
        <f>'Formato 6 a)'!C15</f>
        <v>-395869.45999999996</v>
      </c>
      <c r="R8" s="18">
        <f>'Formato 6 a)'!D15</f>
        <v>3434770.54</v>
      </c>
      <c r="S8" s="18">
        <f>'Formato 6 a)'!E15</f>
        <v>3434770.54</v>
      </c>
      <c r="T8" s="18">
        <f>'Formato 6 a)'!F15</f>
        <v>3434770.54</v>
      </c>
      <c r="U8" s="18">
        <f>'Formato 6 a)'!G15</f>
        <v>0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5602761.6500000004</v>
      </c>
      <c r="Q11" s="18">
        <f>'Formato 6 a)'!C18</f>
        <v>2409302.35</v>
      </c>
      <c r="R11" s="18">
        <f>'Formato 6 a)'!D18</f>
        <v>8012064.0000000009</v>
      </c>
      <c r="S11" s="18">
        <f>'Formato 6 a)'!E18</f>
        <v>8012064.0000000009</v>
      </c>
      <c r="T11" s="18">
        <f>'Formato 6 a)'!F18</f>
        <v>7949038.3900000015</v>
      </c>
      <c r="U11" s="18">
        <f>'Formato 6 a)'!G18</f>
        <v>0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388489</v>
      </c>
      <c r="Q12" s="18">
        <f>'Formato 6 a)'!C19</f>
        <v>39470.349999999991</v>
      </c>
      <c r="R12" s="18">
        <f>'Formato 6 a)'!D19</f>
        <v>427959.35</v>
      </c>
      <c r="S12" s="18">
        <f>'Formato 6 a)'!E19</f>
        <v>427959.34999999992</v>
      </c>
      <c r="T12" s="18">
        <f>'Formato 6 a)'!F19</f>
        <v>427959.34999999992</v>
      </c>
      <c r="U12" s="18">
        <f>'Formato 6 a)'!G19</f>
        <v>0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20380</v>
      </c>
      <c r="Q13" s="18">
        <f>'Formato 6 a)'!C20</f>
        <v>13511.19</v>
      </c>
      <c r="R13" s="18">
        <f>'Formato 6 a)'!D20</f>
        <v>33891.19</v>
      </c>
      <c r="S13" s="18">
        <f>'Formato 6 a)'!E20</f>
        <v>33891.189999999995</v>
      </c>
      <c r="T13" s="18">
        <f>'Formato 6 a)'!F20</f>
        <v>33891.189999999995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3239891.59</v>
      </c>
      <c r="Q15" s="18">
        <f>'Formato 6 a)'!C22</f>
        <v>2324268.33</v>
      </c>
      <c r="R15" s="18">
        <f>'Formato 6 a)'!D22</f>
        <v>5564159.9199999999</v>
      </c>
      <c r="S15" s="18">
        <f>'Formato 6 a)'!E22</f>
        <v>5564159.9200000009</v>
      </c>
      <c r="T15" s="18">
        <f>'Formato 6 a)'!F22</f>
        <v>5536148.4300000006</v>
      </c>
      <c r="U15" s="18">
        <f>'Formato 6 a)'!G22</f>
        <v>0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285300</v>
      </c>
      <c r="Q16" s="18">
        <f>'Formato 6 a)'!C23</f>
        <v>77564.11</v>
      </c>
      <c r="R16" s="18">
        <f>'Formato 6 a)'!D23</f>
        <v>362864.11</v>
      </c>
      <c r="S16" s="18">
        <f>'Formato 6 a)'!E23</f>
        <v>362864.11</v>
      </c>
      <c r="T16" s="18">
        <f>'Formato 6 a)'!F23</f>
        <v>362864.11</v>
      </c>
      <c r="U16" s="18">
        <f>'Formato 6 a)'!G23</f>
        <v>0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1191021.06</v>
      </c>
      <c r="Q17" s="18">
        <f>'Formato 6 a)'!C24</f>
        <v>25400.680000000015</v>
      </c>
      <c r="R17" s="18">
        <f>'Formato 6 a)'!D24</f>
        <v>1216421.74</v>
      </c>
      <c r="S17" s="18">
        <f>'Formato 6 a)'!E24</f>
        <v>1216421.74</v>
      </c>
      <c r="T17" s="18">
        <f>'Formato 6 a)'!F24</f>
        <v>1181407.6200000001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291680</v>
      </c>
      <c r="Q18" s="18">
        <f>'Formato 6 a)'!C25</f>
        <v>47938.479999999989</v>
      </c>
      <c r="R18" s="18">
        <f>'Formato 6 a)'!D25</f>
        <v>339618.48</v>
      </c>
      <c r="S18" s="18">
        <f>'Formato 6 a)'!E25</f>
        <v>339618.48</v>
      </c>
      <c r="T18" s="18">
        <f>'Formato 6 a)'!F25</f>
        <v>339618.48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186000</v>
      </c>
      <c r="Q20" s="18">
        <f>'Formato 6 a)'!C27</f>
        <v>-118850.79000000001</v>
      </c>
      <c r="R20" s="18">
        <f>'Formato 6 a)'!D27</f>
        <v>67149.209999999992</v>
      </c>
      <c r="S20" s="18">
        <f>'Formato 6 a)'!E27</f>
        <v>67149.210000000006</v>
      </c>
      <c r="T20" s="18">
        <f>'Formato 6 a)'!F27</f>
        <v>67149.210000000006</v>
      </c>
      <c r="U20" s="18">
        <f>'Formato 6 a)'!G27</f>
        <v>0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12760457.6</v>
      </c>
      <c r="Q21" s="18">
        <f>'Formato 6 a)'!C28</f>
        <v>2955530.75</v>
      </c>
      <c r="R21" s="18">
        <f>'Formato 6 a)'!D28</f>
        <v>15715988.35</v>
      </c>
      <c r="S21" s="18">
        <f>'Formato 6 a)'!E28</f>
        <v>15994002.010000002</v>
      </c>
      <c r="T21" s="18">
        <f>'Formato 6 a)'!F28</f>
        <v>15648452.309999999</v>
      </c>
      <c r="U21" s="18">
        <f>'Formato 6 a)'!G28</f>
        <v>-278013.65999999997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8497485.5999999996</v>
      </c>
      <c r="Q22" s="18">
        <f>'Formato 6 a)'!C29</f>
        <v>-391473.26</v>
      </c>
      <c r="R22" s="18">
        <f>'Formato 6 a)'!D29</f>
        <v>8106012.3399999999</v>
      </c>
      <c r="S22" s="18">
        <f>'Formato 6 a)'!E29</f>
        <v>8110641.3399999999</v>
      </c>
      <c r="T22" s="18">
        <f>'Formato 6 a)'!F29</f>
        <v>8101261.4199999999</v>
      </c>
      <c r="U22" s="18">
        <f>'Formato 6 a)'!G29</f>
        <v>-4629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1082500</v>
      </c>
      <c r="Q23" s="18">
        <f>'Formato 6 a)'!C30</f>
        <v>369590.68999999994</v>
      </c>
      <c r="R23" s="18">
        <f>'Formato 6 a)'!D30</f>
        <v>1452090.69</v>
      </c>
      <c r="S23" s="18">
        <f>'Formato 6 a)'!E30</f>
        <v>1452090.69</v>
      </c>
      <c r="T23" s="18">
        <f>'Formato 6 a)'!F30</f>
        <v>1398199.35</v>
      </c>
      <c r="U23" s="18">
        <f>'Formato 6 a)'!G30</f>
        <v>0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340000</v>
      </c>
      <c r="Q24" s="18">
        <f>'Formato 6 a)'!C31</f>
        <v>669513.78999999992</v>
      </c>
      <c r="R24" s="18">
        <f>'Formato 6 a)'!D31</f>
        <v>1009513.7899999999</v>
      </c>
      <c r="S24" s="18">
        <f>'Formato 6 a)'!E31</f>
        <v>1100513.79</v>
      </c>
      <c r="T24" s="18">
        <f>'Formato 6 a)'!F31</f>
        <v>1009513.7899999999</v>
      </c>
      <c r="U24" s="18">
        <f>'Formato 6 a)'!G31</f>
        <v>-91000.000000000116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201140</v>
      </c>
      <c r="Q25" s="18">
        <f>'Formato 6 a)'!C32</f>
        <v>177176.31</v>
      </c>
      <c r="R25" s="18">
        <f>'Formato 6 a)'!D32</f>
        <v>378316.31</v>
      </c>
      <c r="S25" s="18">
        <f>'Formato 6 a)'!E32</f>
        <v>424736.58999999997</v>
      </c>
      <c r="T25" s="18">
        <f>'Formato 6 a)'!F32</f>
        <v>378316.31</v>
      </c>
      <c r="U25" s="18">
        <f>'Formato 6 a)'!G32</f>
        <v>-46420.27999999997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1023500</v>
      </c>
      <c r="Q26" s="18">
        <f>'Formato 6 a)'!C33</f>
        <v>1543107.01</v>
      </c>
      <c r="R26" s="18">
        <f>'Formato 6 a)'!D33</f>
        <v>2566607.0099999998</v>
      </c>
      <c r="S26" s="18">
        <f>'Formato 6 a)'!E33</f>
        <v>2702571.3899999997</v>
      </c>
      <c r="T26" s="18">
        <f>'Formato 6 a)'!F33</f>
        <v>2566607.0099999998</v>
      </c>
      <c r="U26" s="18">
        <f>'Formato 6 a)'!G33</f>
        <v>-135964.37999999989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18000</v>
      </c>
      <c r="Q27" s="18">
        <f>'Formato 6 a)'!C34</f>
        <v>8410</v>
      </c>
      <c r="R27" s="18">
        <f>'Formato 6 a)'!D34</f>
        <v>26410</v>
      </c>
      <c r="S27" s="18">
        <f>'Formato 6 a)'!E34</f>
        <v>26410</v>
      </c>
      <c r="T27" s="18">
        <f>'Formato 6 a)'!F34</f>
        <v>26410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19000</v>
      </c>
      <c r="Q28" s="18">
        <f>'Formato 6 a)'!C35</f>
        <v>49880.150000000009</v>
      </c>
      <c r="R28" s="18">
        <f>'Formato 6 a)'!D35</f>
        <v>68880.150000000009</v>
      </c>
      <c r="S28" s="18">
        <f>'Formato 6 a)'!E35</f>
        <v>68880.150000000009</v>
      </c>
      <c r="T28" s="18">
        <f>'Formato 6 a)'!F35</f>
        <v>68880.150000000009</v>
      </c>
      <c r="U28" s="18">
        <f>'Formato 6 a)'!G35</f>
        <v>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62832</v>
      </c>
      <c r="Q29" s="18">
        <f>'Formato 6 a)'!C36</f>
        <v>220590.48</v>
      </c>
      <c r="R29" s="18">
        <f>'Formato 6 a)'!D36</f>
        <v>283422.48</v>
      </c>
      <c r="S29" s="18">
        <f>'Formato 6 a)'!E36</f>
        <v>283422.48</v>
      </c>
      <c r="T29" s="18">
        <f>'Formato 6 a)'!F36</f>
        <v>274528.7</v>
      </c>
      <c r="U29" s="18">
        <f>'Formato 6 a)'!G36</f>
        <v>0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1516000</v>
      </c>
      <c r="Q30" s="18">
        <f>'Formato 6 a)'!C37</f>
        <v>308735.57999999996</v>
      </c>
      <c r="R30" s="18">
        <f>'Formato 6 a)'!D37</f>
        <v>1824735.58</v>
      </c>
      <c r="S30" s="18">
        <f>'Formato 6 a)'!E37</f>
        <v>1824735.58</v>
      </c>
      <c r="T30" s="18">
        <f>'Formato 6 a)'!F37</f>
        <v>1824735.58</v>
      </c>
      <c r="U30" s="18">
        <f>'Formato 6 a)'!G37</f>
        <v>0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0</v>
      </c>
      <c r="Q31" s="18">
        <f>'Formato 6 a)'!C38</f>
        <v>0</v>
      </c>
      <c r="R31" s="18">
        <f>'Formato 6 a)'!D38</f>
        <v>0</v>
      </c>
      <c r="S31" s="18">
        <f>'Formato 6 a)'!E38</f>
        <v>0</v>
      </c>
      <c r="T31" s="18">
        <f>'Formato 6 a)'!F38</f>
        <v>0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15000</v>
      </c>
      <c r="Q41" s="18">
        <f>'Formato 6 a)'!C48</f>
        <v>3228632.4799999995</v>
      </c>
      <c r="R41" s="18">
        <f>'Formato 6 a)'!D48</f>
        <v>3243632.4799999995</v>
      </c>
      <c r="S41" s="18">
        <f>'Formato 6 a)'!E48</f>
        <v>3243632.48</v>
      </c>
      <c r="T41" s="18">
        <f>'Formato 6 a)'!F48</f>
        <v>2963632.48</v>
      </c>
      <c r="U41" s="18">
        <f>'Formato 6 a)'!G48</f>
        <v>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0</v>
      </c>
      <c r="Q42" s="18">
        <f>'Formato 6 a)'!C49</f>
        <v>302346.03999999998</v>
      </c>
      <c r="R42" s="18">
        <f>'Formato 6 a)'!D49</f>
        <v>302346.03999999998</v>
      </c>
      <c r="S42" s="18">
        <f>'Formato 6 a)'!E49</f>
        <v>302346.03999999998</v>
      </c>
      <c r="T42" s="18">
        <f>'Formato 6 a)'!F49</f>
        <v>302346.03999999998</v>
      </c>
      <c r="U42" s="18">
        <f>'Formato 6 a)'!G49</f>
        <v>0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15000</v>
      </c>
      <c r="Q43" s="18">
        <f>'Formato 6 a)'!C50</f>
        <v>-15000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0</v>
      </c>
      <c r="Q45" s="18">
        <f>'Formato 6 a)'!C52</f>
        <v>1250499.9999999995</v>
      </c>
      <c r="R45" s="18">
        <f>'Formato 6 a)'!D52</f>
        <v>1250499.9999999995</v>
      </c>
      <c r="S45" s="18">
        <f>'Formato 6 a)'!E52</f>
        <v>1250500</v>
      </c>
      <c r="T45" s="18">
        <f>'Formato 6 a)'!F52</f>
        <v>1250500</v>
      </c>
      <c r="U45" s="18">
        <f>'Formato 6 a)'!G52</f>
        <v>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0</v>
      </c>
      <c r="Q47" s="18">
        <f>'Formato 6 a)'!C54</f>
        <v>990786.43999999983</v>
      </c>
      <c r="R47" s="18">
        <f>'Formato 6 a)'!D54</f>
        <v>990786.43999999983</v>
      </c>
      <c r="S47" s="18">
        <f>'Formato 6 a)'!E54</f>
        <v>990786.44000000006</v>
      </c>
      <c r="T47" s="18">
        <f>'Formato 6 a)'!F54</f>
        <v>990786.44000000006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700000</v>
      </c>
      <c r="R50" s="18">
        <f>'Formato 6 a)'!D57</f>
        <v>700000</v>
      </c>
      <c r="S50" s="18">
        <f>'Formato 6 a)'!E57</f>
        <v>700000</v>
      </c>
      <c r="T50" s="18">
        <f>'Formato 6 a)'!F57</f>
        <v>420000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1445170.5</v>
      </c>
      <c r="Q51" s="18">
        <f>'Formato 6 a)'!C58</f>
        <v>-697302.02</v>
      </c>
      <c r="R51" s="18">
        <f>'Formato 6 a)'!D58</f>
        <v>747868.48</v>
      </c>
      <c r="S51" s="18">
        <f>'Formato 6 a)'!E58</f>
        <v>814268.4800000001</v>
      </c>
      <c r="T51" s="18">
        <f>'Formato 6 a)'!F58</f>
        <v>747868.48</v>
      </c>
      <c r="U51" s="18">
        <f>'Formato 6 a)'!G58</f>
        <v>-66400.000000000116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1445170.5</v>
      </c>
      <c r="Q52" s="18">
        <f>'Formato 6 a)'!C59</f>
        <v>-697302.02</v>
      </c>
      <c r="R52" s="18">
        <f>'Formato 6 a)'!D59</f>
        <v>747868.48</v>
      </c>
      <c r="S52" s="18">
        <f>'Formato 6 a)'!E59</f>
        <v>814268.4800000001</v>
      </c>
      <c r="T52" s="18">
        <f>'Formato 6 a)'!F59</f>
        <v>747868.48</v>
      </c>
      <c r="U52" s="18">
        <f>'Formato 6 a)'!G59</f>
        <v>-66400.000000000116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228927.8</v>
      </c>
      <c r="R68" s="18">
        <f>'Formato 6 a)'!D75</f>
        <v>228927.8</v>
      </c>
      <c r="S68" s="18">
        <f>'Formato 6 a)'!E75</f>
        <v>228927.8</v>
      </c>
      <c r="T68" s="18">
        <f>'Formato 6 a)'!F75</f>
        <v>228927.8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228927.8</v>
      </c>
      <c r="R75" s="18">
        <f>'Formato 6 a)'!D82</f>
        <v>228927.8</v>
      </c>
      <c r="S75" s="18">
        <f>'Formato 6 a)'!E82</f>
        <v>228927.8</v>
      </c>
      <c r="T75" s="18">
        <f>'Formato 6 a)'!F82</f>
        <v>228927.8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1</v>
      </c>
      <c r="R135">
        <f>'Formato 6 a)'!D143</f>
        <v>3</v>
      </c>
      <c r="S135">
        <f>'Formato 6 a)'!E143</f>
        <v>1</v>
      </c>
      <c r="T135">
        <f>'Formato 6 a)'!F143</f>
        <v>1</v>
      </c>
      <c r="U135">
        <f>'Formato 6 a)'!G143</f>
        <v>2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37083705.380000003</v>
      </c>
      <c r="Q150">
        <f>'Formato 6 a)'!C159</f>
        <v>7016457.0699999994</v>
      </c>
      <c r="R150">
        <f>'Formato 6 a)'!D159</f>
        <v>44100162.449999988</v>
      </c>
      <c r="S150">
        <f>'Formato 6 a)'!E159</f>
        <v>44444576.109999992</v>
      </c>
      <c r="T150">
        <f>'Formato 6 a)'!F159</f>
        <v>43689600.79999999</v>
      </c>
      <c r="U150">
        <f>'Formato 6 a)'!G159</f>
        <v>-344413.66000000009</v>
      </c>
    </row>
  </sheetData>
  <sheetProtection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3"/>
  <sheetViews>
    <sheetView showGridLines="0" zoomScale="90" zoomScaleNormal="90" workbookViewId="0">
      <selection activeCell="G15" sqref="G15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3282</v>
      </c>
      <c r="B1" s="172"/>
      <c r="C1" s="172"/>
      <c r="D1" s="172"/>
      <c r="E1" s="172"/>
      <c r="F1" s="172"/>
      <c r="G1" s="172"/>
    </row>
    <row r="2" spans="1:7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junio de 2022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x14ac:dyDescent="0.25">
      <c r="A9" s="52" t="s">
        <v>432</v>
      </c>
      <c r="B9" s="59">
        <f>SUM(B10:GASTO_NE_FIN_01)</f>
        <v>37083705.379999995</v>
      </c>
      <c r="C9" s="59">
        <f>SUM(C10:GASTO_NE_FIN_02)</f>
        <v>7016457.0700000003</v>
      </c>
      <c r="D9" s="59">
        <f>SUM(D10:GASTO_NE_FIN_03)</f>
        <v>44100162.450000003</v>
      </c>
      <c r="E9" s="59">
        <f>SUM(E10:GASTO_NE_FIN_04)</f>
        <v>44444576.109999999</v>
      </c>
      <c r="F9" s="59">
        <f>SUM(F10:GASTO_NE_FIN_05)</f>
        <v>43689600.799999997</v>
      </c>
      <c r="G9" s="59">
        <f>SUM(G10:GASTO_NE_FIN_06)</f>
        <v>-344413.66000000009</v>
      </c>
    </row>
    <row r="10" spans="1:7" s="24" customFormat="1" x14ac:dyDescent="0.25">
      <c r="A10" s="144" t="s">
        <v>3297</v>
      </c>
      <c r="B10" s="60">
        <v>2057860.24</v>
      </c>
      <c r="C10" s="60">
        <v>219895.38000000012</v>
      </c>
      <c r="D10" s="60">
        <v>2277755.62</v>
      </c>
      <c r="E10" s="60">
        <v>2277755.62</v>
      </c>
      <c r="F10" s="60">
        <v>2276163.94</v>
      </c>
      <c r="G10" s="77">
        <v>0</v>
      </c>
    </row>
    <row r="11" spans="1:7" s="24" customFormat="1" x14ac:dyDescent="0.25">
      <c r="A11" s="144" t="s">
        <v>3298</v>
      </c>
      <c r="B11" s="60">
        <v>2078020.92</v>
      </c>
      <c r="C11" s="60">
        <v>730564.63</v>
      </c>
      <c r="D11" s="60">
        <v>2808585.55</v>
      </c>
      <c r="E11" s="60">
        <v>2831634.83</v>
      </c>
      <c r="F11" s="60">
        <v>2805922.19</v>
      </c>
      <c r="G11" s="77">
        <v>-23049.280000000144</v>
      </c>
    </row>
    <row r="12" spans="1:7" s="24" customFormat="1" x14ac:dyDescent="0.25">
      <c r="A12" s="144" t="s">
        <v>3299</v>
      </c>
      <c r="B12" s="60">
        <v>12732271.029999999</v>
      </c>
      <c r="C12" s="60">
        <v>1756054.29</v>
      </c>
      <c r="D12" s="60">
        <v>14488325.32</v>
      </c>
      <c r="E12" s="60">
        <v>14781689.699999999</v>
      </c>
      <c r="F12" s="60">
        <v>14412984.33</v>
      </c>
      <c r="G12" s="77">
        <v>-293364.37999999989</v>
      </c>
    </row>
    <row r="13" spans="1:7" s="24" customFormat="1" x14ac:dyDescent="0.25">
      <c r="A13" s="144" t="s">
        <v>3300</v>
      </c>
      <c r="B13" s="60">
        <v>4453300.95</v>
      </c>
      <c r="C13" s="60">
        <v>1661037.2</v>
      </c>
      <c r="D13" s="60">
        <v>6114338.1500000004</v>
      </c>
      <c r="E13" s="60">
        <v>6142338.1500000004</v>
      </c>
      <c r="F13" s="60">
        <v>5805075.0499999998</v>
      </c>
      <c r="G13" s="77">
        <v>-28000.000000000233</v>
      </c>
    </row>
    <row r="14" spans="1:7" s="24" customFormat="1" x14ac:dyDescent="0.25">
      <c r="A14" s="144" t="s">
        <v>3301</v>
      </c>
      <c r="B14" s="60">
        <v>2103717.6800000002</v>
      </c>
      <c r="C14" s="60">
        <v>-103607.90999999997</v>
      </c>
      <c r="D14" s="60">
        <v>2000109.7700000003</v>
      </c>
      <c r="E14" s="60">
        <v>2000109.77</v>
      </c>
      <c r="F14" s="60">
        <v>1999571.77</v>
      </c>
      <c r="G14" s="77">
        <v>1.7462298274040222E-10</v>
      </c>
    </row>
    <row r="15" spans="1:7" s="24" customFormat="1" x14ac:dyDescent="0.25">
      <c r="A15" s="144" t="s">
        <v>3302</v>
      </c>
      <c r="B15" s="60">
        <v>357721.2</v>
      </c>
      <c r="C15" s="60">
        <v>-9138.1699999999983</v>
      </c>
      <c r="D15" s="60">
        <v>348583.03</v>
      </c>
      <c r="E15" s="60">
        <v>348583.03</v>
      </c>
      <c r="F15" s="60">
        <v>348314.03</v>
      </c>
      <c r="G15" s="77">
        <v>-1.4551915228366852E-11</v>
      </c>
    </row>
    <row r="16" spans="1:7" s="24" customFormat="1" x14ac:dyDescent="0.25">
      <c r="A16" s="144" t="s">
        <v>3303</v>
      </c>
      <c r="B16" s="60">
        <v>11860936.93</v>
      </c>
      <c r="C16" s="60">
        <v>2589996.6400000006</v>
      </c>
      <c r="D16" s="60">
        <v>14450933.57</v>
      </c>
      <c r="E16" s="60">
        <v>14450933.57</v>
      </c>
      <c r="F16" s="60">
        <v>14439200.83</v>
      </c>
      <c r="G16" s="77">
        <v>0</v>
      </c>
    </row>
    <row r="17" spans="1:7" s="24" customFormat="1" x14ac:dyDescent="0.25">
      <c r="A17" s="144" t="s">
        <v>3304</v>
      </c>
      <c r="B17" s="60">
        <v>1439876.43</v>
      </c>
      <c r="C17" s="60">
        <v>171655.01</v>
      </c>
      <c r="D17" s="60">
        <v>1611531.44</v>
      </c>
      <c r="E17" s="60">
        <v>1611531.44</v>
      </c>
      <c r="F17" s="60">
        <v>1602368.66</v>
      </c>
      <c r="G17" s="77">
        <v>0</v>
      </c>
    </row>
    <row r="18" spans="1:7" s="24" customFormat="1" x14ac:dyDescent="0.25">
      <c r="A18" s="144"/>
      <c r="B18" s="60"/>
      <c r="C18" s="60"/>
      <c r="D18" s="60"/>
      <c r="E18" s="60"/>
      <c r="F18" s="60"/>
      <c r="G18" s="77"/>
    </row>
    <row r="19" spans="1:7" s="24" customFormat="1" x14ac:dyDescent="0.25">
      <c r="A19" s="144"/>
      <c r="B19" s="60"/>
      <c r="C19" s="60"/>
      <c r="D19" s="60"/>
      <c r="E19" s="60"/>
      <c r="F19" s="60"/>
      <c r="G19" s="77">
        <f t="shared" ref="G19" si="0">D19-E19</f>
        <v>0</v>
      </c>
    </row>
    <row r="20" spans="1:7" x14ac:dyDescent="0.25">
      <c r="A20" s="76" t="s">
        <v>678</v>
      </c>
      <c r="B20" s="54"/>
      <c r="C20" s="54"/>
      <c r="D20" s="54"/>
      <c r="E20" s="54"/>
      <c r="F20" s="54"/>
      <c r="G20" s="54"/>
    </row>
    <row r="21" spans="1:7" s="24" customFormat="1" x14ac:dyDescent="0.25">
      <c r="A21" s="55" t="s">
        <v>433</v>
      </c>
      <c r="B21" s="61">
        <f>SUM(B22:GASTO_E_FIN_01)</f>
        <v>0</v>
      </c>
      <c r="C21" s="61">
        <f>SUM(C22:GASTO_E_FIN_02)</f>
        <v>0</v>
      </c>
      <c r="D21" s="61">
        <f>SUM(D22:GASTO_E_FIN_03)</f>
        <v>0</v>
      </c>
      <c r="E21" s="61">
        <f>SUM(E22:GASTO_E_FIN_04)</f>
        <v>0</v>
      </c>
      <c r="F21" s="61">
        <f>SUM(F22:GASTO_E_FIN_05)</f>
        <v>0</v>
      </c>
      <c r="G21" s="61">
        <f>SUM(G22:GASTO_E_FIN_06)</f>
        <v>0</v>
      </c>
    </row>
    <row r="22" spans="1:7" s="24" customFormat="1" x14ac:dyDescent="0.25">
      <c r="A22" s="144"/>
      <c r="B22" s="60"/>
      <c r="C22" s="60"/>
      <c r="D22" s="60"/>
      <c r="E22" s="60"/>
      <c r="F22" s="60"/>
      <c r="G22" s="60">
        <f>D22-E22</f>
        <v>0</v>
      </c>
    </row>
    <row r="23" spans="1:7" s="24" customFormat="1" x14ac:dyDescent="0.25">
      <c r="A23" s="144"/>
      <c r="B23" s="60"/>
      <c r="C23" s="60"/>
      <c r="D23" s="60"/>
      <c r="E23" s="60"/>
      <c r="F23" s="60"/>
      <c r="G23" s="60">
        <f t="shared" ref="G23:G29" si="1">D23-E23</f>
        <v>0</v>
      </c>
    </row>
    <row r="24" spans="1:7" s="24" customFormat="1" x14ac:dyDescent="0.25">
      <c r="A24" s="144"/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/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/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/>
      <c r="B27" s="60"/>
      <c r="C27" s="60"/>
      <c r="D27" s="60"/>
      <c r="E27" s="60"/>
      <c r="F27" s="60"/>
      <c r="G27" s="60">
        <f t="shared" si="1"/>
        <v>0</v>
      </c>
    </row>
    <row r="28" spans="1:7" s="24" customFormat="1" x14ac:dyDescent="0.25">
      <c r="A28" s="144"/>
      <c r="B28" s="60"/>
      <c r="C28" s="60"/>
      <c r="D28" s="60"/>
      <c r="E28" s="60"/>
      <c r="F28" s="60"/>
      <c r="G28" s="60">
        <f t="shared" si="1"/>
        <v>0</v>
      </c>
    </row>
    <row r="29" spans="1:7" s="24" customFormat="1" x14ac:dyDescent="0.25">
      <c r="A29" s="144"/>
      <c r="B29" s="60"/>
      <c r="C29" s="60"/>
      <c r="D29" s="60"/>
      <c r="E29" s="60"/>
      <c r="F29" s="60"/>
      <c r="G29" s="60">
        <f t="shared" si="1"/>
        <v>0</v>
      </c>
    </row>
    <row r="30" spans="1:7" x14ac:dyDescent="0.25">
      <c r="A30" s="76" t="s">
        <v>678</v>
      </c>
      <c r="B30" s="54"/>
      <c r="C30" s="54"/>
      <c r="D30" s="54"/>
      <c r="E30" s="54"/>
      <c r="F30" s="54"/>
      <c r="G30" s="54"/>
    </row>
    <row r="31" spans="1:7" x14ac:dyDescent="0.25">
      <c r="A31" s="55" t="s">
        <v>360</v>
      </c>
      <c r="B31" s="61">
        <f>GASTO_NE_T1+GASTO_E_T1</f>
        <v>37083705.379999995</v>
      </c>
      <c r="C31" s="61">
        <f>GASTO_NE_T2+GASTO_E_T2</f>
        <v>7016457.0700000003</v>
      </c>
      <c r="D31" s="61">
        <f>GASTO_NE_T3+GASTO_E_T3</f>
        <v>44100162.450000003</v>
      </c>
      <c r="E31" s="61">
        <f>GASTO_NE_T4+GASTO_E_T4</f>
        <v>44444576.109999999</v>
      </c>
      <c r="F31" s="61">
        <f>GASTO_NE_T5+GASTO_E_T5</f>
        <v>43689600.799999997</v>
      </c>
      <c r="G31" s="61">
        <f>GASTO_NE_T6+GASTO_E_T6</f>
        <v>-344413.66000000009</v>
      </c>
    </row>
    <row r="32" spans="1:7" x14ac:dyDescent="0.25">
      <c r="A32" s="58"/>
      <c r="B32" s="65"/>
      <c r="C32" s="65"/>
      <c r="D32" s="65"/>
      <c r="E32" s="65"/>
      <c r="F32" s="65"/>
      <c r="G32" s="78"/>
    </row>
    <row r="33" spans="1:1" hidden="1" x14ac:dyDescent="0.25">
      <c r="A3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3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37083705.379999995</v>
      </c>
      <c r="Q2" s="18">
        <f>GASTO_NE_T2</f>
        <v>7016457.0700000003</v>
      </c>
      <c r="R2" s="18">
        <f>GASTO_NE_T3</f>
        <v>44100162.450000003</v>
      </c>
      <c r="S2" s="18">
        <f>GASTO_NE_T4</f>
        <v>44444576.109999999</v>
      </c>
      <c r="T2" s="18">
        <f>GASTO_NE_T5</f>
        <v>43689600.799999997</v>
      </c>
      <c r="U2" s="18">
        <f>GASTO_NE_T6</f>
        <v>-344413.66000000009</v>
      </c>
    </row>
    <row r="3" spans="1:25" x14ac:dyDescent="0.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37083705.379999995</v>
      </c>
      <c r="Q4" s="18">
        <f>TOTAL_E_T2</f>
        <v>7016457.0700000003</v>
      </c>
      <c r="R4" s="18">
        <f>TOTAL_E_T3</f>
        <v>44100162.450000003</v>
      </c>
      <c r="S4" s="18">
        <f>TOTAL_E_T4</f>
        <v>44444576.109999999</v>
      </c>
      <c r="T4" s="18">
        <f>TOTAL_E_T5</f>
        <v>43689600.799999997</v>
      </c>
      <c r="U4" s="18">
        <f>TOTAL_E_T6</f>
        <v>-344413.66000000009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B72" sqref="B72:B7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3281</v>
      </c>
      <c r="B1" s="179"/>
      <c r="C1" s="179"/>
      <c r="D1" s="179"/>
      <c r="E1" s="179"/>
      <c r="F1" s="179"/>
      <c r="G1" s="179"/>
    </row>
    <row r="2" spans="1:7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x14ac:dyDescent="0.25">
      <c r="A5" s="159" t="str">
        <f>TRIMESTRE</f>
        <v>Del 1 de enero al 30 de junio de 2022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3278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x14ac:dyDescent="0.25">
      <c r="A9" s="52" t="s">
        <v>363</v>
      </c>
      <c r="B9" s="70">
        <f t="shared" ref="B9:G9" si="0">SUM(B10,B19,B27,B37)</f>
        <v>37083705.38000001</v>
      </c>
      <c r="C9" s="70">
        <f t="shared" si="0"/>
        <v>7016457.0700000031</v>
      </c>
      <c r="D9" s="70">
        <f t="shared" si="0"/>
        <v>44100162.45000001</v>
      </c>
      <c r="E9" s="70">
        <f t="shared" si="0"/>
        <v>44444576.109999977</v>
      </c>
      <c r="F9" s="70">
        <f t="shared" si="0"/>
        <v>43689600.799999975</v>
      </c>
      <c r="G9" s="70">
        <f t="shared" si="0"/>
        <v>-344413.65999996662</v>
      </c>
    </row>
    <row r="10" spans="1:7" x14ac:dyDescent="0.25">
      <c r="A10" s="53" t="s">
        <v>364</v>
      </c>
      <c r="B10" s="71">
        <f t="shared" ref="B10:G10" si="1">SUM(B11:B18)</f>
        <v>0</v>
      </c>
      <c r="C10" s="71">
        <f t="shared" si="1"/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 t="shared" si="1"/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 t="shared" ref="B19:G19" si="3">SUM(B20:B26)</f>
        <v>37083705.38000001</v>
      </c>
      <c r="C19" s="71">
        <f t="shared" si="3"/>
        <v>7016457.0700000031</v>
      </c>
      <c r="D19" s="71">
        <f t="shared" si="3"/>
        <v>44100162.45000001</v>
      </c>
      <c r="E19" s="71">
        <f t="shared" si="3"/>
        <v>44444576.109999977</v>
      </c>
      <c r="F19" s="71">
        <f t="shared" si="3"/>
        <v>43689600.799999975</v>
      </c>
      <c r="G19" s="71">
        <f t="shared" si="3"/>
        <v>-344413.65999996662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37083705.38000001</v>
      </c>
      <c r="C21" s="71">
        <v>7016457.0700000031</v>
      </c>
      <c r="D21" s="71">
        <v>44100162.45000001</v>
      </c>
      <c r="E21" s="71">
        <v>44444576.109999977</v>
      </c>
      <c r="F21" s="71">
        <v>43689600.799999975</v>
      </c>
      <c r="G21" s="72">
        <f t="shared" ref="G21:G26" si="4">D21-E21</f>
        <v>-344413.65999996662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 t="shared" ref="B27:G27" si="5">SUM(B28:B36)</f>
        <v>0</v>
      </c>
      <c r="C27" s="71">
        <f t="shared" si="5"/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 t="shared" si="5"/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 t="shared" ref="B37:G37" si="7">SUM(B38:B41)</f>
        <v>0</v>
      </c>
      <c r="C37" s="71">
        <f t="shared" si="7"/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 t="shared" si="7"/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2">
        <f>D39-E39</f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f>D40-E40</f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f>D41-E41</f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8">SUM(B44,B53,B61,B71)</f>
        <v>0</v>
      </c>
      <c r="C43" s="73">
        <f t="shared" si="8"/>
        <v>0</v>
      </c>
      <c r="D43" s="73">
        <f t="shared" si="8"/>
        <v>0</v>
      </c>
      <c r="E43" s="73">
        <f t="shared" si="8"/>
        <v>0</v>
      </c>
      <c r="F43" s="73">
        <f t="shared" si="8"/>
        <v>0</v>
      </c>
      <c r="G43" s="73">
        <f t="shared" si="8"/>
        <v>0</v>
      </c>
    </row>
    <row r="44" spans="1:7" x14ac:dyDescent="0.25">
      <c r="A44" s="53" t="s">
        <v>430</v>
      </c>
      <c r="B44" s="72">
        <f t="shared" ref="B44:G44" si="9">SUM(B45:B52)</f>
        <v>0</v>
      </c>
      <c r="C44" s="72">
        <f t="shared" si="9"/>
        <v>0</v>
      </c>
      <c r="D44" s="72">
        <f t="shared" si="9"/>
        <v>0</v>
      </c>
      <c r="E44" s="72">
        <f t="shared" si="9"/>
        <v>0</v>
      </c>
      <c r="F44" s="72">
        <f t="shared" si="9"/>
        <v>0</v>
      </c>
      <c r="G44" s="72">
        <f t="shared" si="9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0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0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0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0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0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0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0"/>
        <v>0</v>
      </c>
    </row>
    <row r="53" spans="1:7" x14ac:dyDescent="0.25">
      <c r="A53" s="53" t="s">
        <v>373</v>
      </c>
      <c r="B53" s="71">
        <f t="shared" ref="B53:G53" si="11">SUM(B54:B60)</f>
        <v>0</v>
      </c>
      <c r="C53" s="71">
        <f t="shared" si="11"/>
        <v>0</v>
      </c>
      <c r="D53" s="71">
        <f t="shared" si="11"/>
        <v>0</v>
      </c>
      <c r="E53" s="71">
        <f t="shared" si="11"/>
        <v>0</v>
      </c>
      <c r="F53" s="71">
        <f t="shared" si="11"/>
        <v>0</v>
      </c>
      <c r="G53" s="71">
        <f t="shared" si="11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2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2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2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2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2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2"/>
        <v>0</v>
      </c>
    </row>
    <row r="61" spans="1:7" x14ac:dyDescent="0.25">
      <c r="A61" s="53" t="s">
        <v>381</v>
      </c>
      <c r="B61" s="71">
        <f t="shared" ref="B61:G61" si="13">SUM(B62:B70)</f>
        <v>0</v>
      </c>
      <c r="C61" s="71">
        <f t="shared" si="13"/>
        <v>0</v>
      </c>
      <c r="D61" s="71">
        <f t="shared" si="13"/>
        <v>0</v>
      </c>
      <c r="E61" s="71">
        <f t="shared" si="13"/>
        <v>0</v>
      </c>
      <c r="F61" s="71">
        <f t="shared" si="13"/>
        <v>0</v>
      </c>
      <c r="G61" s="71">
        <f t="shared" si="13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4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4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4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4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4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4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4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4"/>
        <v>0</v>
      </c>
    </row>
    <row r="71" spans="1:8" x14ac:dyDescent="0.25">
      <c r="A71" s="64" t="s">
        <v>3291</v>
      </c>
      <c r="B71" s="74">
        <f t="shared" ref="B71:G71" si="15">SUM(B72:B75)</f>
        <v>0</v>
      </c>
      <c r="C71" s="74">
        <f t="shared" si="15"/>
        <v>0</v>
      </c>
      <c r="D71" s="74">
        <f t="shared" si="15"/>
        <v>0</v>
      </c>
      <c r="E71" s="74">
        <f t="shared" si="15"/>
        <v>0</v>
      </c>
      <c r="F71" s="74">
        <f t="shared" si="15"/>
        <v>0</v>
      </c>
      <c r="G71" s="74">
        <f t="shared" si="15"/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2">
        <v>0</v>
      </c>
      <c r="C73" s="71">
        <v>0</v>
      </c>
      <c r="D73" s="71">
        <v>0</v>
      </c>
      <c r="E73" s="71">
        <v>0</v>
      </c>
      <c r="F73" s="71">
        <v>0</v>
      </c>
      <c r="G73" s="72">
        <f>D73-E73</f>
        <v>0</v>
      </c>
    </row>
    <row r="74" spans="1:8" x14ac:dyDescent="0.25">
      <c r="A74" s="69" t="s">
        <v>393</v>
      </c>
      <c r="B74" s="72">
        <v>0</v>
      </c>
      <c r="C74" s="71">
        <v>0</v>
      </c>
      <c r="D74" s="71">
        <v>0</v>
      </c>
      <c r="E74" s="71">
        <v>0</v>
      </c>
      <c r="F74" s="71">
        <v>0</v>
      </c>
      <c r="G74" s="72">
        <f>D74-E74</f>
        <v>0</v>
      </c>
    </row>
    <row r="75" spans="1:8" x14ac:dyDescent="0.25">
      <c r="A75" s="69" t="s">
        <v>394</v>
      </c>
      <c r="B75" s="72">
        <v>0</v>
      </c>
      <c r="C75" s="71">
        <v>0</v>
      </c>
      <c r="D75" s="71">
        <v>0</v>
      </c>
      <c r="E75" s="71">
        <v>0</v>
      </c>
      <c r="F75" s="71">
        <v>0</v>
      </c>
      <c r="G75" s="72">
        <f>D75-E75</f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6">B43+B9</f>
        <v>37083705.38000001</v>
      </c>
      <c r="C77" s="73">
        <f t="shared" si="16"/>
        <v>7016457.0700000031</v>
      </c>
      <c r="D77" s="73">
        <f t="shared" si="16"/>
        <v>44100162.45000001</v>
      </c>
      <c r="E77" s="73">
        <f t="shared" si="16"/>
        <v>44444576.109999977</v>
      </c>
      <c r="F77" s="73">
        <f t="shared" si="16"/>
        <v>43689600.799999975</v>
      </c>
      <c r="G77" s="73">
        <f t="shared" si="16"/>
        <v>-344413.65999996662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37083705.38000001</v>
      </c>
      <c r="Q2" s="18">
        <f>'Formato 6 c)'!C9</f>
        <v>7016457.0700000031</v>
      </c>
      <c r="R2" s="18">
        <f>'Formato 6 c)'!D9</f>
        <v>44100162.45000001</v>
      </c>
      <c r="S2" s="18">
        <f>'Formato 6 c)'!E9</f>
        <v>44444576.109999977</v>
      </c>
      <c r="T2" s="18">
        <f>'Formato 6 c)'!F9</f>
        <v>43689600.799999975</v>
      </c>
      <c r="U2" s="18">
        <f>'Formato 6 c)'!G9</f>
        <v>-344413.65999996662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37083705.38000001</v>
      </c>
      <c r="Q12" s="18">
        <f>'Formato 6 c)'!C19</f>
        <v>7016457.0700000031</v>
      </c>
      <c r="R12" s="18">
        <f>'Formato 6 c)'!D19</f>
        <v>44100162.45000001</v>
      </c>
      <c r="S12" s="18">
        <f>'Formato 6 c)'!E19</f>
        <v>44444576.109999977</v>
      </c>
      <c r="T12" s="18">
        <f>'Formato 6 c)'!F19</f>
        <v>43689600.799999975</v>
      </c>
      <c r="U12" s="18">
        <f>'Formato 6 c)'!G19</f>
        <v>-344413.65999996662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37083705.38000001</v>
      </c>
      <c r="Q14" s="18">
        <f>'Formato 6 c)'!C21</f>
        <v>7016457.0700000031</v>
      </c>
      <c r="R14" s="18">
        <f>'Formato 6 c)'!D21</f>
        <v>44100162.45000001</v>
      </c>
      <c r="S14" s="18">
        <f>'Formato 6 c)'!E21</f>
        <v>44444576.109999977</v>
      </c>
      <c r="T14" s="18">
        <f>'Formato 6 c)'!F21</f>
        <v>43689600.799999975</v>
      </c>
      <c r="U14" s="18">
        <f>'Formato 6 c)'!G21</f>
        <v>-344413.65999996662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37083705.38000001</v>
      </c>
      <c r="Q68" s="18">
        <f>'Formato 6 c)'!C77</f>
        <v>7016457.0700000031</v>
      </c>
      <c r="R68" s="18">
        <f>'Formato 6 c)'!D77</f>
        <v>44100162.45000001</v>
      </c>
      <c r="S68" s="18">
        <f>'Formato 6 c)'!E77</f>
        <v>44444576.109999977</v>
      </c>
      <c r="T68" s="18">
        <f>'Formato 6 c)'!F77</f>
        <v>43689600.799999975</v>
      </c>
      <c r="U68" s="18">
        <f>'Formato 6 c)'!G77</f>
        <v>-344413.65999996662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DE AGUA POTABLE Y ALCANTARILLADOS DE SAN JOSE ITURBIDE GUANAJUATO, GTO., Gobierno del Estado de Guanajuato</v>
      </c>
    </row>
    <row r="7" spans="2:3" x14ac:dyDescent="0.25">
      <c r="C7" t="str">
        <f>CONCATENATE(ENTE_PUBLICO," (a)")</f>
        <v>SISTEMA MUNICIPAL DE AGUA POTABLE Y ALCANTARILLADOS DE SAN JOSE ITURBIDE GUANAJUATO, GTO.,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1150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José Iturbide, Gobierno del Estado de Guanajuato</v>
      </c>
    </row>
    <row r="12" spans="2:3" x14ac:dyDescent="0.25">
      <c r="B12" t="s">
        <v>786</v>
      </c>
      <c r="C12" s="24">
        <v>2022</v>
      </c>
    </row>
    <row r="14" spans="2:3" x14ac:dyDescent="0.25">
      <c r="B14" t="s">
        <v>785</v>
      </c>
      <c r="C14" s="24" t="s">
        <v>3294</v>
      </c>
    </row>
    <row r="15" spans="2:3" x14ac:dyDescent="0.25">
      <c r="C15" s="24">
        <v>2</v>
      </c>
    </row>
    <row r="16" spans="2:3" x14ac:dyDescent="0.25">
      <c r="C16" s="24" t="s">
        <v>3295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2022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2022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2022 (m = g – l)</v>
      </c>
    </row>
    <row r="20" spans="4:9" ht="60" x14ac:dyDescent="0.25">
      <c r="D20" s="21" t="str">
        <f>CONCATENATE(ANIO_INFORME, " (d)")</f>
        <v>2022 (d)</v>
      </c>
      <c r="E20" s="22" t="str">
        <f>CONCATENATE("31 de diciembre de ",ANIO_INFORME-1, " (e)")</f>
        <v>31 de diciembre de 2021 (e)</v>
      </c>
      <c r="F20" s="31" t="str">
        <f>CONCATENATE("Saldo al 31 de diciembre de ",ANIO_INFORME-1, " (d)")</f>
        <v>Saldo al 31 de diciembre de 2021 (d)</v>
      </c>
    </row>
    <row r="23" spans="4:9" x14ac:dyDescent="0.25">
      <c r="D23" s="33">
        <f>ANIO_INFORME + 1</f>
        <v>2023</v>
      </c>
      <c r="E23" s="34" t="str">
        <f>CONCATENATE(ANIO_INFORME + 2, " (d)")</f>
        <v>2024 (d)</v>
      </c>
      <c r="F23" s="34" t="str">
        <f>CONCATENATE(ANIO_INFORME + 3, " (d)")</f>
        <v>2025 (d)</v>
      </c>
      <c r="G23" s="34" t="str">
        <f>CONCATENATE(ANIO_INFORME + 4, " (d)")</f>
        <v>2026 (d)</v>
      </c>
      <c r="H23" s="34" t="str">
        <f>CONCATENATE(ANIO_INFORME + 5, " (d)")</f>
        <v>2027 (d)</v>
      </c>
      <c r="I23" s="34" t="str">
        <f>CONCATENATE(ANIO_INFORME + 6, " (d)")</f>
        <v>2028 (d)</v>
      </c>
    </row>
    <row r="25" spans="4:9" x14ac:dyDescent="0.25">
      <c r="D25" s="35" t="str">
        <f>CONCATENATE(ANIO_INFORME - 5, " ",CHAR(185)," (c)")</f>
        <v>2017 ¹ (c)</v>
      </c>
      <c r="E25" s="35" t="str">
        <f>CONCATENATE(ANIO_INFORME - 4, " ",CHAR(185)," (c)")</f>
        <v>2018 ¹ (c)</v>
      </c>
      <c r="F25" s="35" t="str">
        <f>CONCATENATE(ANIO_INFORME - 3, " ",CHAR(185)," (c)")</f>
        <v>2019 ¹ (c)</v>
      </c>
      <c r="G25" s="35" t="str">
        <f>CONCATENATE(ANIO_INFORME - 2, " ",CHAR(185)," (c)")</f>
        <v>2020 ¹ (c)</v>
      </c>
      <c r="H25" s="35" t="str">
        <f>CONCATENATE(ANIO_INFORME - 1, " ",CHAR(185)," (c)")</f>
        <v>2021 ¹ (c)</v>
      </c>
      <c r="I25" s="33">
        <f>ANIO_INFORME</f>
        <v>2022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B32" sqref="B32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3279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x14ac:dyDescent="0.25">
      <c r="A5" s="159" t="str">
        <f>TRIMESTRE</f>
        <v>Del 1 de enero al 30 de junio de 2022 (b)</v>
      </c>
      <c r="B5" s="160"/>
      <c r="C5" s="160"/>
      <c r="D5" s="160"/>
      <c r="E5" s="160"/>
      <c r="F5" s="160"/>
      <c r="G5" s="161"/>
    </row>
    <row r="6" spans="1:7" x14ac:dyDescent="0.2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x14ac:dyDescent="0.25">
      <c r="A9" s="52" t="s">
        <v>400</v>
      </c>
      <c r="B9" s="66">
        <f t="shared" ref="B9:G9" si="0">SUM(B10,B11,B12,B15,B16,B19)</f>
        <v>17260315.629999999</v>
      </c>
      <c r="C9" s="66">
        <f t="shared" si="0"/>
        <v>-1108634.29</v>
      </c>
      <c r="D9" s="66">
        <f t="shared" si="0"/>
        <v>16151681.34</v>
      </c>
      <c r="E9" s="66">
        <f t="shared" si="0"/>
        <v>16151681.340000002</v>
      </c>
      <c r="F9" s="66">
        <f t="shared" si="0"/>
        <v>16151681.340000002</v>
      </c>
      <c r="G9" s="66">
        <f t="shared" si="0"/>
        <v>0</v>
      </c>
    </row>
    <row r="10" spans="1:7" x14ac:dyDescent="0.25">
      <c r="A10" s="53" t="s">
        <v>401</v>
      </c>
      <c r="B10" s="67">
        <v>17260315.629999999</v>
      </c>
      <c r="C10" s="67">
        <v>-1108634.29</v>
      </c>
      <c r="D10" s="67">
        <v>16151681.34</v>
      </c>
      <c r="E10" s="67">
        <v>16151681.340000002</v>
      </c>
      <c r="F10" s="67">
        <v>16151681.340000002</v>
      </c>
      <c r="G10" s="67">
        <f>D10-E10</f>
        <v>0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>D15-E15</f>
        <v>0</v>
      </c>
    </row>
    <row r="16" spans="1:7" x14ac:dyDescent="0.25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 t="shared" ref="B21:G21" si="3">SUM(B22,B23,B24,B27,B28,B31)</f>
        <v>0</v>
      </c>
      <c r="C21" s="66">
        <f t="shared" si="3"/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 t="shared" si="3"/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>D27-E27</f>
        <v>0</v>
      </c>
    </row>
    <row r="28" spans="1:7" s="24" customFormat="1" x14ac:dyDescent="0.25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17260315.629999999</v>
      </c>
      <c r="C33" s="66">
        <f t="shared" si="6"/>
        <v>-1108634.29</v>
      </c>
      <c r="D33" s="66">
        <f t="shared" si="6"/>
        <v>16151681.34</v>
      </c>
      <c r="E33" s="66">
        <f t="shared" si="6"/>
        <v>16151681.340000002</v>
      </c>
      <c r="F33" s="66">
        <f t="shared" si="6"/>
        <v>16151681.340000002</v>
      </c>
      <c r="G33" s="66">
        <f t="shared" si="6"/>
        <v>0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17260315.629999999</v>
      </c>
      <c r="Q2" s="18">
        <f>'Formato 6 d)'!C9</f>
        <v>-1108634.29</v>
      </c>
      <c r="R2" s="18">
        <f>'Formato 6 d)'!D9</f>
        <v>16151681.34</v>
      </c>
      <c r="S2" s="18">
        <f>'Formato 6 d)'!E9</f>
        <v>16151681.340000002</v>
      </c>
      <c r="T2" s="18">
        <f>'Formato 6 d)'!F9</f>
        <v>16151681.340000002</v>
      </c>
      <c r="U2" s="18">
        <f>'Formato 6 d)'!G9</f>
        <v>0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17260315.629999999</v>
      </c>
      <c r="Q3" s="18">
        <f>'Formato 6 d)'!C10</f>
        <v>-1108634.29</v>
      </c>
      <c r="R3" s="18">
        <f>'Formato 6 d)'!D10</f>
        <v>16151681.34</v>
      </c>
      <c r="S3" s="18">
        <f>'Formato 6 d)'!E10</f>
        <v>16151681.340000002</v>
      </c>
      <c r="T3" s="18">
        <f>'Formato 6 d)'!F10</f>
        <v>16151681.340000002</v>
      </c>
      <c r="U3" s="18">
        <f>'Formato 6 d)'!G10</f>
        <v>0</v>
      </c>
      <c r="V3" s="18"/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17260315.629999999</v>
      </c>
      <c r="Q24" s="18">
        <f>'Formato 6 d)'!C33</f>
        <v>-1108634.29</v>
      </c>
      <c r="R24" s="18">
        <f>'Formato 6 d)'!D33</f>
        <v>16151681.34</v>
      </c>
      <c r="S24" s="18">
        <f>'Formato 6 d)'!E33</f>
        <v>16151681.340000002</v>
      </c>
      <c r="T24" s="18">
        <f>'Formato 6 d)'!F33</f>
        <v>16151681.340000002</v>
      </c>
      <c r="U24" s="18">
        <f>'Formato 6 d)'!G33</f>
        <v>0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D6" sqref="D6:G7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1" t="s">
        <v>413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San José Iturbide,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414</v>
      </c>
      <c r="B3" s="157"/>
      <c r="C3" s="157"/>
      <c r="D3" s="157"/>
      <c r="E3" s="157"/>
      <c r="F3" s="157"/>
      <c r="G3" s="158"/>
    </row>
    <row r="4" spans="1:7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3280</v>
      </c>
      <c r="B6" s="51">
        <f>ANIO1P-1</f>
        <v>2022</v>
      </c>
      <c r="C6" s="181">
        <f>B6+1</f>
        <v>2023</v>
      </c>
      <c r="D6" s="181">
        <f t="shared" ref="D6:G6" si="0">C6+1</f>
        <v>2024</v>
      </c>
      <c r="E6" s="181">
        <f t="shared" si="0"/>
        <v>2025</v>
      </c>
      <c r="F6" s="181">
        <f t="shared" si="0"/>
        <v>2026</v>
      </c>
      <c r="G6" s="181">
        <f t="shared" si="0"/>
        <v>2027</v>
      </c>
    </row>
    <row r="7" spans="1:7" ht="48" customHeight="1" x14ac:dyDescent="0.25">
      <c r="A7" s="169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 t="shared" ref="B8:G8" si="1">SUM(B9:B20)</f>
        <v>37083705.380000018</v>
      </c>
      <c r="C8" s="59">
        <f t="shared" si="1"/>
        <v>38937890.649000026</v>
      </c>
      <c r="D8" s="59">
        <f t="shared" si="1"/>
        <v>40884785.181450032</v>
      </c>
      <c r="E8" s="59">
        <f t="shared" si="1"/>
        <v>42929024.440522529</v>
      </c>
      <c r="F8" s="59">
        <f t="shared" si="1"/>
        <v>45075475.662548654</v>
      </c>
      <c r="G8" s="59">
        <f t="shared" si="1"/>
        <v>47329249.445676096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32224673.910000015</v>
      </c>
      <c r="C12" s="60">
        <v>33835907.60550002</v>
      </c>
      <c r="D12" s="60">
        <v>35527702.985775024</v>
      </c>
      <c r="E12" s="60">
        <v>37304088.135063775</v>
      </c>
      <c r="F12" s="60">
        <v>39169292.541816965</v>
      </c>
      <c r="G12" s="60">
        <v>41127757.168907814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243305.39999999997</v>
      </c>
      <c r="C14" s="60">
        <v>255470.66999999998</v>
      </c>
      <c r="D14" s="60">
        <v>268244.2035</v>
      </c>
      <c r="E14" s="60">
        <v>281656.41367500002</v>
      </c>
      <c r="F14" s="60">
        <v>295739.23435875005</v>
      </c>
      <c r="G14" s="60">
        <v>310526.19607668754</v>
      </c>
    </row>
    <row r="15" spans="1:7" x14ac:dyDescent="0.25">
      <c r="A15" s="53" t="s">
        <v>417</v>
      </c>
      <c r="B15" s="60">
        <v>4615726.0700000022</v>
      </c>
      <c r="C15" s="60">
        <v>4846512.3735000025</v>
      </c>
      <c r="D15" s="60">
        <v>5088837.9921750026</v>
      </c>
      <c r="E15" s="60">
        <v>5343279.8917837525</v>
      </c>
      <c r="F15" s="60">
        <v>5610443.8863729406</v>
      </c>
      <c r="G15" s="60">
        <v>5890966.0806915881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 t="shared" ref="B22:G22" si="2">SUM(B23:B27)</f>
        <v>0</v>
      </c>
      <c r="C22" s="61">
        <f t="shared" si="2"/>
        <v>0</v>
      </c>
      <c r="D22" s="61">
        <f t="shared" si="2"/>
        <v>0</v>
      </c>
      <c r="E22" s="61">
        <f t="shared" si="2"/>
        <v>0</v>
      </c>
      <c r="F22" s="61">
        <f t="shared" si="2"/>
        <v>0</v>
      </c>
      <c r="G22" s="61">
        <f t="shared" si="2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3">B30</f>
        <v>0</v>
      </c>
      <c r="C29" s="61">
        <f t="shared" si="3"/>
        <v>0</v>
      </c>
      <c r="D29" s="61">
        <f t="shared" si="3"/>
        <v>0</v>
      </c>
      <c r="E29" s="61">
        <f t="shared" si="3"/>
        <v>0</v>
      </c>
      <c r="F29" s="61">
        <f t="shared" si="3"/>
        <v>0</v>
      </c>
      <c r="G29" s="61">
        <f t="shared" si="3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4">B29+B22+B8</f>
        <v>37083705.380000018</v>
      </c>
      <c r="C32" s="61">
        <f t="shared" si="4"/>
        <v>38937890.649000026</v>
      </c>
      <c r="D32" s="61">
        <f t="shared" si="4"/>
        <v>40884785.181450032</v>
      </c>
      <c r="E32" s="61">
        <f t="shared" si="4"/>
        <v>42929024.440522529</v>
      </c>
      <c r="F32" s="61">
        <f t="shared" si="4"/>
        <v>45075475.662548654</v>
      </c>
      <c r="G32" s="61">
        <f t="shared" si="4"/>
        <v>47329249.445676096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 t="shared" ref="B37:G37" si="5">B36+B35</f>
        <v>0</v>
      </c>
      <c r="C37" s="61">
        <f t="shared" si="5"/>
        <v>0</v>
      </c>
      <c r="D37" s="61">
        <f t="shared" si="5"/>
        <v>0</v>
      </c>
      <c r="E37" s="61">
        <f t="shared" si="5"/>
        <v>0</v>
      </c>
      <c r="F37" s="61">
        <f t="shared" si="5"/>
        <v>0</v>
      </c>
      <c r="G37" s="61">
        <f t="shared" si="5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37083705.380000018</v>
      </c>
      <c r="Q2" s="18">
        <f>'Formato 7 a)'!C8</f>
        <v>38937890.649000026</v>
      </c>
      <c r="R2" s="18">
        <f>'Formato 7 a)'!D8</f>
        <v>40884785.181450032</v>
      </c>
      <c r="S2" s="18">
        <f>'Formato 7 a)'!E8</f>
        <v>42929024.440522529</v>
      </c>
      <c r="T2" s="18">
        <f>'Formato 7 a)'!F8</f>
        <v>45075475.662548654</v>
      </c>
      <c r="U2" s="18">
        <f>'Formato 7 a)'!G8</f>
        <v>47329249.445676096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32224673.910000015</v>
      </c>
      <c r="Q6" s="18">
        <f>'Formato 7 a)'!C12</f>
        <v>33835907.60550002</v>
      </c>
      <c r="R6" s="18">
        <f>'Formato 7 a)'!D12</f>
        <v>35527702.985775024</v>
      </c>
      <c r="S6" s="18">
        <f>'Formato 7 a)'!E12</f>
        <v>37304088.135063775</v>
      </c>
      <c r="T6" s="18">
        <f>'Formato 7 a)'!F12</f>
        <v>39169292.541816965</v>
      </c>
      <c r="U6" s="18">
        <f>'Formato 7 a)'!G12</f>
        <v>41127757.168907814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243305.39999999997</v>
      </c>
      <c r="Q8" s="18">
        <f>'Formato 7 a)'!C14</f>
        <v>255470.66999999998</v>
      </c>
      <c r="R8" s="18">
        <f>'Formato 7 a)'!D14</f>
        <v>268244.2035</v>
      </c>
      <c r="S8" s="18">
        <f>'Formato 7 a)'!E14</f>
        <v>281656.41367500002</v>
      </c>
      <c r="T8" s="18">
        <f>'Formato 7 a)'!F14</f>
        <v>295739.23435875005</v>
      </c>
      <c r="U8" s="18">
        <f>'Formato 7 a)'!G14</f>
        <v>310526.19607668754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4615726.0700000022</v>
      </c>
      <c r="Q9" s="18">
        <f>'Formato 7 a)'!C15</f>
        <v>4846512.3735000025</v>
      </c>
      <c r="R9" s="18">
        <f>'Formato 7 a)'!D15</f>
        <v>5088837.9921750026</v>
      </c>
      <c r="S9" s="18">
        <f>'Formato 7 a)'!E15</f>
        <v>5343279.8917837525</v>
      </c>
      <c r="T9" s="18">
        <f>'Formato 7 a)'!F15</f>
        <v>5610443.8863729406</v>
      </c>
      <c r="U9" s="18">
        <f>'Formato 7 a)'!G15</f>
        <v>5890966.0806915881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37083705.380000018</v>
      </c>
      <c r="Q23" s="18">
        <f>'Formato 7 a)'!C32</f>
        <v>38937890.649000026</v>
      </c>
      <c r="R23" s="18">
        <f>'Formato 7 a)'!D32</f>
        <v>40884785.181450032</v>
      </c>
      <c r="S23" s="18">
        <f>'Formato 7 a)'!E32</f>
        <v>42929024.440522529</v>
      </c>
      <c r="T23" s="18">
        <f>'Formato 7 a)'!F32</f>
        <v>45075475.662548654</v>
      </c>
      <c r="U23" s="18">
        <f>'Formato 7 a)'!G32</f>
        <v>47329249.445676096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1" t="s">
        <v>443</v>
      </c>
      <c r="B1" s="171"/>
      <c r="C1" s="171"/>
      <c r="D1" s="171"/>
      <c r="E1" s="171"/>
      <c r="F1" s="171"/>
      <c r="G1" s="171"/>
    </row>
    <row r="2" spans="1:7" customFormat="1" x14ac:dyDescent="0.25">
      <c r="A2" s="153" t="str">
        <f>ENTIDAD</f>
        <v>Municipio de San José Iturbide, Gobierno del Estado de Guanajuato</v>
      </c>
      <c r="B2" s="154"/>
      <c r="C2" s="154"/>
      <c r="D2" s="154"/>
      <c r="E2" s="154"/>
      <c r="F2" s="154"/>
      <c r="G2" s="155"/>
    </row>
    <row r="3" spans="1:7" customFormat="1" x14ac:dyDescent="0.25">
      <c r="A3" s="156" t="s">
        <v>444</v>
      </c>
      <c r="B3" s="157"/>
      <c r="C3" s="157"/>
      <c r="D3" s="157"/>
      <c r="E3" s="157"/>
      <c r="F3" s="157"/>
      <c r="G3" s="158"/>
    </row>
    <row r="4" spans="1:7" customFormat="1" x14ac:dyDescent="0.25">
      <c r="A4" s="156" t="s">
        <v>118</v>
      </c>
      <c r="B4" s="157"/>
      <c r="C4" s="157"/>
      <c r="D4" s="157"/>
      <c r="E4" s="157"/>
      <c r="F4" s="157"/>
      <c r="G4" s="158"/>
    </row>
    <row r="5" spans="1:7" customFormat="1" x14ac:dyDescent="0.2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3134</v>
      </c>
      <c r="B6" s="51">
        <f>ANIO1P-1</f>
        <v>2022</v>
      </c>
      <c r="C6" s="181">
        <f>B6+1</f>
        <v>2023</v>
      </c>
      <c r="D6" s="181">
        <f t="shared" ref="D6:G6" si="0">C6+1</f>
        <v>2024</v>
      </c>
      <c r="E6" s="181">
        <f t="shared" si="0"/>
        <v>2025</v>
      </c>
      <c r="F6" s="181">
        <f t="shared" si="0"/>
        <v>2026</v>
      </c>
      <c r="G6" s="181">
        <f t="shared" si="0"/>
        <v>2027</v>
      </c>
    </row>
    <row r="7" spans="1:7" customFormat="1" ht="48" customHeight="1" x14ac:dyDescent="0.25">
      <c r="A7" s="184"/>
      <c r="B7" s="88" t="s">
        <v>3283</v>
      </c>
      <c r="C7" s="182"/>
      <c r="D7" s="182"/>
      <c r="E7" s="182"/>
      <c r="F7" s="182"/>
      <c r="G7" s="182"/>
    </row>
    <row r="8" spans="1:7" x14ac:dyDescent="0.25">
      <c r="A8" s="52" t="s">
        <v>445</v>
      </c>
      <c r="B8" s="59">
        <f t="shared" ref="B8:G8" si="1">SUM(B9:B17)</f>
        <v>37083705.380000003</v>
      </c>
      <c r="C8" s="59">
        <f t="shared" si="1"/>
        <v>38937890.649000004</v>
      </c>
      <c r="D8" s="59">
        <f t="shared" si="1"/>
        <v>40884785.181450009</v>
      </c>
      <c r="E8" s="59">
        <f t="shared" si="1"/>
        <v>42929024.440522514</v>
      </c>
      <c r="F8" s="59">
        <f t="shared" si="1"/>
        <v>45075475.662548639</v>
      </c>
      <c r="G8" s="59">
        <f t="shared" si="1"/>
        <v>47329249.445676073</v>
      </c>
    </row>
    <row r="9" spans="1:7" x14ac:dyDescent="0.25">
      <c r="A9" s="53" t="s">
        <v>446</v>
      </c>
      <c r="B9" s="60">
        <v>17260315.630000003</v>
      </c>
      <c r="C9" s="60">
        <v>18123331.411500003</v>
      </c>
      <c r="D9" s="60">
        <v>19029497.982075006</v>
      </c>
      <c r="E9" s="60">
        <v>19980972.881178755</v>
      </c>
      <c r="F9" s="60">
        <v>20980021.525237694</v>
      </c>
      <c r="G9" s="60">
        <v>22029022.60149958</v>
      </c>
    </row>
    <row r="10" spans="1:7" x14ac:dyDescent="0.25">
      <c r="A10" s="53" t="s">
        <v>447</v>
      </c>
      <c r="B10" s="60">
        <v>5602761.6500000004</v>
      </c>
      <c r="C10" s="60">
        <v>5882899.7325000009</v>
      </c>
      <c r="D10" s="60">
        <v>6177044.7191250008</v>
      </c>
      <c r="E10" s="60">
        <v>6485896.9550812514</v>
      </c>
      <c r="F10" s="60">
        <v>6810191.8028353145</v>
      </c>
      <c r="G10" s="60">
        <v>7150701.3929770803</v>
      </c>
    </row>
    <row r="11" spans="1:7" x14ac:dyDescent="0.25">
      <c r="A11" s="53" t="s">
        <v>448</v>
      </c>
      <c r="B11" s="60">
        <v>12760457.6</v>
      </c>
      <c r="C11" s="60">
        <v>13398480.48</v>
      </c>
      <c r="D11" s="60">
        <v>14068404.504000001</v>
      </c>
      <c r="E11" s="60">
        <v>14771824.729200002</v>
      </c>
      <c r="F11" s="60">
        <v>15510415.965660002</v>
      </c>
      <c r="G11" s="60">
        <v>16285936.763943003</v>
      </c>
    </row>
    <row r="12" spans="1:7" x14ac:dyDescent="0.25">
      <c r="A12" s="53" t="s">
        <v>449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450</v>
      </c>
      <c r="B13" s="60">
        <v>15000</v>
      </c>
      <c r="C13" s="60">
        <v>15750</v>
      </c>
      <c r="D13" s="60">
        <v>16537.5</v>
      </c>
      <c r="E13" s="60">
        <v>17364.375</v>
      </c>
      <c r="F13" s="60">
        <v>18232.59375</v>
      </c>
      <c r="G13" s="60">
        <v>19144.223437500001</v>
      </c>
    </row>
    <row r="14" spans="1:7" x14ac:dyDescent="0.25">
      <c r="A14" s="53" t="s">
        <v>451</v>
      </c>
      <c r="B14" s="60">
        <v>1445170.5</v>
      </c>
      <c r="C14" s="60">
        <v>1517429.0250000001</v>
      </c>
      <c r="D14" s="60">
        <v>1593300.4762500003</v>
      </c>
      <c r="E14" s="60">
        <v>1672965.5000625004</v>
      </c>
      <c r="F14" s="60">
        <v>1756613.7750656256</v>
      </c>
      <c r="G14" s="60">
        <v>1844444.4638189068</v>
      </c>
    </row>
    <row r="15" spans="1:7" x14ac:dyDescent="0.25">
      <c r="A15" s="53" t="s">
        <v>452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 t="shared" ref="B19:G19" si="2">SUM(B20:B28)</f>
        <v>0</v>
      </c>
      <c r="C19" s="61">
        <f t="shared" si="2"/>
        <v>0</v>
      </c>
      <c r="D19" s="61">
        <f t="shared" si="2"/>
        <v>0</v>
      </c>
      <c r="E19" s="61">
        <f t="shared" si="2"/>
        <v>0</v>
      </c>
      <c r="F19" s="61">
        <f t="shared" si="2"/>
        <v>0</v>
      </c>
      <c r="G19" s="61">
        <f t="shared" si="2"/>
        <v>0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 t="shared" ref="B30:G30" si="3">B8+B19</f>
        <v>37083705.380000003</v>
      </c>
      <c r="C30" s="61">
        <f t="shared" si="3"/>
        <v>38937890.649000004</v>
      </c>
      <c r="D30" s="61">
        <f t="shared" si="3"/>
        <v>40884785.181450009</v>
      </c>
      <c r="E30" s="61">
        <f t="shared" si="3"/>
        <v>42929024.440522514</v>
      </c>
      <c r="F30" s="61">
        <f t="shared" si="3"/>
        <v>45075475.662548639</v>
      </c>
      <c r="G30" s="61">
        <f t="shared" si="3"/>
        <v>47329249.445676073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37083705.380000003</v>
      </c>
      <c r="Q2" s="18">
        <f>'Formato 7 b)'!C8</f>
        <v>38937890.649000004</v>
      </c>
      <c r="R2" s="18">
        <f>'Formato 7 b)'!D8</f>
        <v>40884785.181450009</v>
      </c>
      <c r="S2" s="18">
        <f>'Formato 7 b)'!E8</f>
        <v>42929024.440522514</v>
      </c>
      <c r="T2" s="18">
        <f>'Formato 7 b)'!F8</f>
        <v>45075475.662548639</v>
      </c>
      <c r="U2" s="18">
        <f>'Formato 7 b)'!G8</f>
        <v>47329249.445676073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17260315.630000003</v>
      </c>
      <c r="Q3" s="18">
        <f>'Formato 7 b)'!C9</f>
        <v>18123331.411500003</v>
      </c>
      <c r="R3" s="18">
        <f>'Formato 7 b)'!D9</f>
        <v>19029497.982075006</v>
      </c>
      <c r="S3" s="18">
        <f>'Formato 7 b)'!E9</f>
        <v>19980972.881178755</v>
      </c>
      <c r="T3" s="18">
        <f>'Formato 7 b)'!F9</f>
        <v>20980021.525237694</v>
      </c>
      <c r="U3" s="18">
        <f>'Formato 7 b)'!G9</f>
        <v>22029022.60149958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5602761.6500000004</v>
      </c>
      <c r="Q4" s="18">
        <f>'Formato 7 b)'!C10</f>
        <v>5882899.7325000009</v>
      </c>
      <c r="R4" s="18">
        <f>'Formato 7 b)'!D10</f>
        <v>6177044.7191250008</v>
      </c>
      <c r="S4" s="18">
        <f>'Formato 7 b)'!E10</f>
        <v>6485896.9550812514</v>
      </c>
      <c r="T4" s="18">
        <f>'Formato 7 b)'!F10</f>
        <v>6810191.8028353145</v>
      </c>
      <c r="U4" s="18">
        <f>'Formato 7 b)'!G10</f>
        <v>7150701.3929770803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12760457.6</v>
      </c>
      <c r="Q5" s="18">
        <f>'Formato 7 b)'!C11</f>
        <v>13398480.48</v>
      </c>
      <c r="R5" s="18">
        <f>'Formato 7 b)'!D11</f>
        <v>14068404.504000001</v>
      </c>
      <c r="S5" s="18">
        <f>'Formato 7 b)'!E11</f>
        <v>14771824.729200002</v>
      </c>
      <c r="T5" s="18">
        <f>'Formato 7 b)'!F11</f>
        <v>15510415.965660002</v>
      </c>
      <c r="U5" s="18">
        <f>'Formato 7 b)'!G11</f>
        <v>16285936.763943003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15000</v>
      </c>
      <c r="Q7" s="18">
        <f>'Formato 7 b)'!C13</f>
        <v>15750</v>
      </c>
      <c r="R7" s="18">
        <f>'Formato 7 b)'!D13</f>
        <v>16537.5</v>
      </c>
      <c r="S7" s="18">
        <f>'Formato 7 b)'!E13</f>
        <v>17364.375</v>
      </c>
      <c r="T7" s="18">
        <f>'Formato 7 b)'!F13</f>
        <v>18232.59375</v>
      </c>
      <c r="U7" s="18">
        <f>'Formato 7 b)'!G13</f>
        <v>19144.223437500001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1445170.5</v>
      </c>
      <c r="Q8" s="18">
        <f>'Formato 7 b)'!C14</f>
        <v>1517429.0250000001</v>
      </c>
      <c r="R8" s="18">
        <f>'Formato 7 b)'!D14</f>
        <v>1593300.4762500003</v>
      </c>
      <c r="S8" s="18">
        <f>'Formato 7 b)'!E14</f>
        <v>1672965.5000625004</v>
      </c>
      <c r="T8" s="18">
        <f>'Formato 7 b)'!F14</f>
        <v>1756613.7750656256</v>
      </c>
      <c r="U8" s="18">
        <f>'Formato 7 b)'!G14</f>
        <v>1844444.4638189068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37083705.380000003</v>
      </c>
      <c r="Q22" s="18">
        <f>'Formato 7 b)'!C30</f>
        <v>38937890.649000004</v>
      </c>
      <c r="R22" s="18">
        <f>'Formato 7 b)'!D30</f>
        <v>40884785.181450009</v>
      </c>
      <c r="S22" s="18">
        <f>'Formato 7 b)'!E30</f>
        <v>42929024.440522514</v>
      </c>
      <c r="T22" s="18">
        <f>'Formato 7 b)'!F30</f>
        <v>45075475.662548639</v>
      </c>
      <c r="U22" s="18">
        <f>'Formato 7 b)'!G30</f>
        <v>47329249.445676073</v>
      </c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90" zoomScaleNormal="90" workbookViewId="0">
      <selection activeCell="A40" sqref="A40:G40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458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San José Iturbide,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459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3280</v>
      </c>
      <c r="B5" s="186" t="str">
        <f>ANIO5R</f>
        <v>2017 ¹ (c)</v>
      </c>
      <c r="C5" s="186" t="str">
        <f>ANIO4R</f>
        <v>2018 ¹ (c)</v>
      </c>
      <c r="D5" s="186" t="str">
        <f>ANIO3R</f>
        <v>2019 ¹ (c)</v>
      </c>
      <c r="E5" s="186" t="str">
        <f>ANIO2R</f>
        <v>2020 ¹ (c)</v>
      </c>
      <c r="F5" s="186" t="str">
        <f>ANIO1R</f>
        <v>2021 ¹ (c)</v>
      </c>
      <c r="G5" s="51">
        <f>ANIO_INFORME</f>
        <v>2022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3286</v>
      </c>
    </row>
    <row r="7" spans="1:7" x14ac:dyDescent="0.25">
      <c r="A7" s="52" t="s">
        <v>460</v>
      </c>
      <c r="B7" s="59">
        <f t="shared" ref="B7:G7" si="0">SUM(B8:B19)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48881068.239999995</v>
      </c>
    </row>
    <row r="8" spans="1:7" x14ac:dyDescent="0.25">
      <c r="A8" s="53" t="s">
        <v>461</v>
      </c>
      <c r="B8" s="60"/>
      <c r="C8" s="60"/>
      <c r="D8" s="60"/>
      <c r="E8" s="60"/>
      <c r="F8" s="60"/>
      <c r="G8" s="60">
        <v>0</v>
      </c>
    </row>
    <row r="9" spans="1:7" x14ac:dyDescent="0.25">
      <c r="A9" s="53" t="s">
        <v>462</v>
      </c>
      <c r="B9" s="60"/>
      <c r="C9" s="60"/>
      <c r="D9" s="60"/>
      <c r="E9" s="60"/>
      <c r="F9" s="60"/>
      <c r="G9" s="60">
        <v>0</v>
      </c>
    </row>
    <row r="10" spans="1:7" x14ac:dyDescent="0.25">
      <c r="A10" s="53" t="s">
        <v>463</v>
      </c>
      <c r="B10" s="60"/>
      <c r="C10" s="60"/>
      <c r="D10" s="60"/>
      <c r="E10" s="60"/>
      <c r="F10" s="60"/>
      <c r="G10" s="60">
        <v>0</v>
      </c>
    </row>
    <row r="11" spans="1:7" x14ac:dyDescent="0.25">
      <c r="A11" s="53" t="s">
        <v>464</v>
      </c>
      <c r="B11" s="60"/>
      <c r="C11" s="60"/>
      <c r="D11" s="60"/>
      <c r="E11" s="60"/>
      <c r="F11" s="60"/>
      <c r="G11" s="60">
        <v>41169702.719999999</v>
      </c>
    </row>
    <row r="12" spans="1:7" x14ac:dyDescent="0.25">
      <c r="A12" s="53" t="s">
        <v>465</v>
      </c>
      <c r="B12" s="60"/>
      <c r="C12" s="60"/>
      <c r="D12" s="60"/>
      <c r="E12" s="60"/>
      <c r="F12" s="60"/>
      <c r="G12" s="60">
        <v>1456892.43</v>
      </c>
    </row>
    <row r="13" spans="1:7" x14ac:dyDescent="0.25">
      <c r="A13" s="56" t="s">
        <v>466</v>
      </c>
      <c r="B13" s="60"/>
      <c r="C13" s="60"/>
      <c r="D13" s="60"/>
      <c r="E13" s="60"/>
      <c r="F13" s="60"/>
      <c r="G13" s="60">
        <v>1124128.82</v>
      </c>
    </row>
    <row r="14" spans="1:7" x14ac:dyDescent="0.25">
      <c r="A14" s="53" t="s">
        <v>467</v>
      </c>
      <c r="B14" s="60"/>
      <c r="C14" s="60"/>
      <c r="D14" s="60"/>
      <c r="E14" s="60"/>
      <c r="F14" s="60"/>
      <c r="G14" s="60">
        <v>4401251.7199999988</v>
      </c>
    </row>
    <row r="15" spans="1:7" x14ac:dyDescent="0.25">
      <c r="A15" s="53" t="s">
        <v>468</v>
      </c>
      <c r="B15" s="60"/>
      <c r="C15" s="60"/>
      <c r="D15" s="60"/>
      <c r="E15" s="60"/>
      <c r="F15" s="60"/>
      <c r="G15" s="60">
        <v>0</v>
      </c>
    </row>
    <row r="16" spans="1:7" x14ac:dyDescent="0.25">
      <c r="A16" s="53" t="s">
        <v>469</v>
      </c>
      <c r="B16" s="60"/>
      <c r="C16" s="60"/>
      <c r="D16" s="60"/>
      <c r="E16" s="60"/>
      <c r="F16" s="60"/>
      <c r="G16" s="60">
        <v>0</v>
      </c>
    </row>
    <row r="17" spans="1:7" x14ac:dyDescent="0.25">
      <c r="A17" s="53" t="s">
        <v>3290</v>
      </c>
      <c r="B17" s="60"/>
      <c r="C17" s="60"/>
      <c r="D17" s="60"/>
      <c r="E17" s="60"/>
      <c r="F17" s="60"/>
      <c r="G17" s="60">
        <v>0</v>
      </c>
    </row>
    <row r="18" spans="1:7" x14ac:dyDescent="0.25">
      <c r="A18" s="53" t="s">
        <v>470</v>
      </c>
      <c r="B18" s="60"/>
      <c r="C18" s="60"/>
      <c r="D18" s="60"/>
      <c r="E18" s="60"/>
      <c r="F18" s="60"/>
      <c r="G18" s="60">
        <v>361593.55</v>
      </c>
    </row>
    <row r="19" spans="1:7" x14ac:dyDescent="0.25">
      <c r="A19" s="53" t="s">
        <v>471</v>
      </c>
      <c r="B19" s="60"/>
      <c r="C19" s="60"/>
      <c r="D19" s="60"/>
      <c r="E19" s="60"/>
      <c r="F19" s="60"/>
      <c r="G19" s="60">
        <v>367499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472</v>
      </c>
      <c r="B22" s="60"/>
      <c r="C22" s="60"/>
      <c r="D22" s="60"/>
      <c r="E22" s="60"/>
      <c r="F22" s="60"/>
      <c r="G22" s="60">
        <v>0</v>
      </c>
    </row>
    <row r="23" spans="1:7" x14ac:dyDescent="0.25">
      <c r="A23" s="53" t="s">
        <v>473</v>
      </c>
      <c r="B23" s="60"/>
      <c r="C23" s="60"/>
      <c r="D23" s="60"/>
      <c r="E23" s="60"/>
      <c r="F23" s="60"/>
      <c r="G23" s="60">
        <v>0</v>
      </c>
    </row>
    <row r="24" spans="1:7" x14ac:dyDescent="0.25">
      <c r="A24" s="53" t="s">
        <v>474</v>
      </c>
      <c r="B24" s="60"/>
      <c r="C24" s="60"/>
      <c r="D24" s="60"/>
      <c r="E24" s="60"/>
      <c r="F24" s="60"/>
      <c r="G24" s="60">
        <v>0</v>
      </c>
    </row>
    <row r="25" spans="1:7" x14ac:dyDescent="0.25">
      <c r="A25" s="53" t="s">
        <v>475</v>
      </c>
      <c r="B25" s="60"/>
      <c r="C25" s="60"/>
      <c r="D25" s="60"/>
      <c r="E25" s="60"/>
      <c r="F25" s="60"/>
      <c r="G25" s="60"/>
    </row>
    <row r="26" spans="1:7" x14ac:dyDescent="0.25">
      <c r="A26" s="53" t="s">
        <v>476</v>
      </c>
      <c r="B26" s="60"/>
      <c r="C26" s="60"/>
      <c r="D26" s="60"/>
      <c r="E26" s="60"/>
      <c r="F26" s="60"/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/>
      <c r="C29" s="60"/>
      <c r="D29" s="60"/>
      <c r="E29" s="60"/>
      <c r="F29" s="60"/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 t="shared" ref="B31:G31" si="3">B7+B21+B28</f>
        <v>0</v>
      </c>
      <c r="C31" s="61">
        <f t="shared" si="3"/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48881068.239999995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/>
      <c r="C34" s="60"/>
      <c r="D34" s="60"/>
      <c r="E34" s="60"/>
      <c r="F34" s="60"/>
      <c r="G34" s="60">
        <v>0</v>
      </c>
    </row>
    <row r="35" spans="1:7" ht="30" x14ac:dyDescent="0.25">
      <c r="A35" s="57" t="s">
        <v>480</v>
      </c>
      <c r="B35" s="60"/>
      <c r="C35" s="60"/>
      <c r="D35" s="60"/>
      <c r="E35" s="60"/>
      <c r="F35" s="60"/>
      <c r="G35" s="60">
        <v>0</v>
      </c>
    </row>
    <row r="36" spans="1:7" x14ac:dyDescent="0.25">
      <c r="A36" s="55" t="s">
        <v>481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3284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3285</v>
      </c>
      <c r="B40" s="185"/>
      <c r="C40" s="185"/>
      <c r="D40" s="185"/>
      <c r="E40" s="185"/>
      <c r="F40" s="185"/>
      <c r="G40" s="185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48881068.239999995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41169702.719999999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1456892.43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1124128.82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4401251.7199999988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361593.55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367499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48881068.239999995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6" zoomScale="90" zoomScaleNormal="90" workbookViewId="0">
      <selection activeCell="G21" sqref="G2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1" t="s">
        <v>482</v>
      </c>
      <c r="B1" s="171"/>
      <c r="C1" s="171"/>
      <c r="D1" s="171"/>
      <c r="E1" s="171"/>
      <c r="F1" s="171"/>
      <c r="G1" s="171"/>
    </row>
    <row r="2" spans="1:7" x14ac:dyDescent="0.25">
      <c r="A2" s="153" t="str">
        <f>ENTIDAD</f>
        <v>Municipio de San José Iturbide, Gobierno del Estado de Guanajuato</v>
      </c>
      <c r="B2" s="154"/>
      <c r="C2" s="154"/>
      <c r="D2" s="154"/>
      <c r="E2" s="154"/>
      <c r="F2" s="154"/>
      <c r="G2" s="155"/>
    </row>
    <row r="3" spans="1:7" x14ac:dyDescent="0.25">
      <c r="A3" s="156" t="s">
        <v>483</v>
      </c>
      <c r="B3" s="157"/>
      <c r="C3" s="157"/>
      <c r="D3" s="157"/>
      <c r="E3" s="157"/>
      <c r="F3" s="157"/>
      <c r="G3" s="158"/>
    </row>
    <row r="4" spans="1:7" x14ac:dyDescent="0.2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3134</v>
      </c>
      <c r="B5" s="186" t="str">
        <f>ANIO5R</f>
        <v>2017 ¹ (c)</v>
      </c>
      <c r="C5" s="186" t="str">
        <f>ANIO4R</f>
        <v>2018 ¹ (c)</v>
      </c>
      <c r="D5" s="186" t="str">
        <f>ANIO3R</f>
        <v>2019 ¹ (c)</v>
      </c>
      <c r="E5" s="186" t="str">
        <f>ANIO2R</f>
        <v>2020 ¹ (c)</v>
      </c>
      <c r="F5" s="186" t="str">
        <f>ANIO1R</f>
        <v>2021 ¹ (c)</v>
      </c>
      <c r="G5" s="51">
        <f>ANIO_INFORME</f>
        <v>2022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3287</v>
      </c>
    </row>
    <row r="7" spans="1:7" x14ac:dyDescent="0.25">
      <c r="A7" s="52" t="s">
        <v>484</v>
      </c>
      <c r="B7" s="59">
        <f t="shared" ref="B7:G7" si="0">SUM(B8:B16)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44444576.110000007</v>
      </c>
    </row>
    <row r="8" spans="1:7" x14ac:dyDescent="0.25">
      <c r="A8" s="53" t="s">
        <v>446</v>
      </c>
      <c r="B8" s="60"/>
      <c r="C8" s="60"/>
      <c r="D8" s="60"/>
      <c r="E8" s="60"/>
      <c r="F8" s="60"/>
      <c r="G8" s="60">
        <v>16151681.340000002</v>
      </c>
    </row>
    <row r="9" spans="1:7" x14ac:dyDescent="0.25">
      <c r="A9" s="53" t="s">
        <v>447</v>
      </c>
      <c r="B9" s="60"/>
      <c r="C9" s="60"/>
      <c r="D9" s="60"/>
      <c r="E9" s="60"/>
      <c r="F9" s="60"/>
      <c r="G9" s="60">
        <v>8012064.0000000019</v>
      </c>
    </row>
    <row r="10" spans="1:7" x14ac:dyDescent="0.25">
      <c r="A10" s="53" t="s">
        <v>448</v>
      </c>
      <c r="B10" s="60"/>
      <c r="C10" s="60"/>
      <c r="D10" s="60"/>
      <c r="E10" s="60"/>
      <c r="F10" s="60"/>
      <c r="G10" s="60">
        <v>15994002.010000002</v>
      </c>
    </row>
    <row r="11" spans="1:7" x14ac:dyDescent="0.25">
      <c r="A11" s="53" t="s">
        <v>449</v>
      </c>
      <c r="B11" s="60"/>
      <c r="C11" s="60"/>
      <c r="D11" s="60"/>
      <c r="E11" s="60"/>
      <c r="F11" s="60"/>
      <c r="G11" s="60">
        <v>0</v>
      </c>
    </row>
    <row r="12" spans="1:7" x14ac:dyDescent="0.25">
      <c r="A12" s="53" t="s">
        <v>450</v>
      </c>
      <c r="B12" s="60"/>
      <c r="C12" s="60"/>
      <c r="D12" s="60"/>
      <c r="E12" s="60"/>
      <c r="F12" s="60"/>
      <c r="G12" s="60">
        <v>3243632.4800000004</v>
      </c>
    </row>
    <row r="13" spans="1:7" x14ac:dyDescent="0.25">
      <c r="A13" s="53" t="s">
        <v>451</v>
      </c>
      <c r="B13" s="60"/>
      <c r="C13" s="60"/>
      <c r="D13" s="60"/>
      <c r="E13" s="60"/>
      <c r="F13" s="60"/>
      <c r="G13" s="60">
        <v>814268.4800000001</v>
      </c>
    </row>
    <row r="14" spans="1:7" x14ac:dyDescent="0.25">
      <c r="A14" s="53" t="s">
        <v>452</v>
      </c>
      <c r="B14" s="60"/>
      <c r="C14" s="60"/>
      <c r="D14" s="60"/>
      <c r="E14" s="60"/>
      <c r="F14" s="60"/>
      <c r="G14" s="60">
        <v>0</v>
      </c>
    </row>
    <row r="15" spans="1:7" x14ac:dyDescent="0.25">
      <c r="A15" s="53" t="s">
        <v>453</v>
      </c>
      <c r="B15" s="60"/>
      <c r="C15" s="60"/>
      <c r="D15" s="60"/>
      <c r="E15" s="60"/>
      <c r="F15" s="60"/>
      <c r="G15" s="60">
        <v>0</v>
      </c>
    </row>
    <row r="16" spans="1:7" x14ac:dyDescent="0.25">
      <c r="A16" s="53" t="s">
        <v>454</v>
      </c>
      <c r="B16" s="60"/>
      <c r="C16" s="60"/>
      <c r="D16" s="60"/>
      <c r="E16" s="60"/>
      <c r="F16" s="60"/>
      <c r="G16" s="60">
        <v>228927.8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446</v>
      </c>
      <c r="B19" s="60"/>
      <c r="C19" s="60"/>
      <c r="D19" s="60"/>
      <c r="E19" s="60"/>
      <c r="F19" s="60"/>
      <c r="G19" s="60">
        <v>0</v>
      </c>
    </row>
    <row r="20" spans="1:7" x14ac:dyDescent="0.25">
      <c r="A20" s="53" t="s">
        <v>447</v>
      </c>
      <c r="B20" s="60"/>
      <c r="C20" s="60"/>
      <c r="D20" s="60"/>
      <c r="E20" s="60"/>
      <c r="F20" s="60"/>
      <c r="G20" s="60">
        <v>0</v>
      </c>
    </row>
    <row r="21" spans="1:7" x14ac:dyDescent="0.25">
      <c r="A21" s="53" t="s">
        <v>448</v>
      </c>
      <c r="B21" s="60"/>
      <c r="C21" s="60"/>
      <c r="D21" s="60"/>
      <c r="E21" s="60"/>
      <c r="F21" s="60"/>
      <c r="G21" s="60">
        <v>0</v>
      </c>
    </row>
    <row r="22" spans="1:7" x14ac:dyDescent="0.25">
      <c r="A22" s="53" t="s">
        <v>449</v>
      </c>
      <c r="B22" s="60"/>
      <c r="C22" s="60"/>
      <c r="D22" s="60"/>
      <c r="E22" s="60"/>
      <c r="F22" s="60"/>
      <c r="G22" s="60">
        <v>0</v>
      </c>
    </row>
    <row r="23" spans="1:7" x14ac:dyDescent="0.25">
      <c r="A23" s="53" t="s">
        <v>450</v>
      </c>
      <c r="B23" s="60"/>
      <c r="C23" s="60"/>
      <c r="D23" s="60"/>
      <c r="E23" s="60"/>
      <c r="F23" s="60"/>
      <c r="G23" s="60">
        <v>0</v>
      </c>
    </row>
    <row r="24" spans="1:7" x14ac:dyDescent="0.25">
      <c r="A24" s="53" t="s">
        <v>451</v>
      </c>
      <c r="B24" s="60"/>
      <c r="C24" s="60"/>
      <c r="D24" s="60"/>
      <c r="E24" s="60"/>
      <c r="F24" s="60"/>
      <c r="G24" s="60">
        <v>0</v>
      </c>
    </row>
    <row r="25" spans="1:7" x14ac:dyDescent="0.25">
      <c r="A25" s="53" t="s">
        <v>452</v>
      </c>
      <c r="B25" s="60"/>
      <c r="C25" s="60"/>
      <c r="D25" s="60"/>
      <c r="E25" s="60"/>
      <c r="F25" s="60"/>
      <c r="G25" s="60">
        <v>0</v>
      </c>
    </row>
    <row r="26" spans="1:7" x14ac:dyDescent="0.25">
      <c r="A26" s="53" t="s">
        <v>456</v>
      </c>
      <c r="B26" s="60"/>
      <c r="C26" s="60"/>
      <c r="D26" s="60"/>
      <c r="E26" s="60"/>
      <c r="F26" s="60"/>
      <c r="G26" s="60">
        <v>0</v>
      </c>
    </row>
    <row r="27" spans="1:7" x14ac:dyDescent="0.25">
      <c r="A27" s="53" t="s">
        <v>454</v>
      </c>
      <c r="B27" s="60"/>
      <c r="C27" s="60"/>
      <c r="D27" s="60"/>
      <c r="E27" s="60"/>
      <c r="F27" s="60"/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 t="shared" ref="B29:G29" si="2">B7+B18</f>
        <v>0</v>
      </c>
      <c r="C29" s="60">
        <f t="shared" si="2"/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G29" s="60">
        <f t="shared" si="2"/>
        <v>44444576.110000007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3284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3285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0</v>
      </c>
      <c r="T2" s="18">
        <f>'Formato 7 d)'!F7</f>
        <v>0</v>
      </c>
      <c r="U2" s="18">
        <f>'Formato 7 d)'!G7</f>
        <v>44444576.110000007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0</v>
      </c>
      <c r="T3" s="18">
        <f>'Formato 7 d)'!F8</f>
        <v>0</v>
      </c>
      <c r="U3" s="18">
        <f>'Formato 7 d)'!G8</f>
        <v>16151681.340000002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8012064.0000000019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0</v>
      </c>
      <c r="T5" s="18">
        <f>'Formato 7 d)'!F10</f>
        <v>0</v>
      </c>
      <c r="U5" s="18">
        <f>'Formato 7 d)'!G10</f>
        <v>15994002.010000002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3243632.4800000004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814268.4800000001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228927.8</v>
      </c>
    </row>
    <row r="12" spans="1:21" x14ac:dyDescent="0.2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0</v>
      </c>
      <c r="T22" s="18">
        <f>'Formato 7 d)'!F29</f>
        <v>0</v>
      </c>
      <c r="U22" s="18">
        <f>'Formato 7 d)'!G29</f>
        <v>44444576.110000007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abSelected="1" zoomScale="90" zoomScaleNormal="90" workbookViewId="0">
      <selection activeCell="A66" sqref="A66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487</v>
      </c>
      <c r="B1" s="165"/>
      <c r="C1" s="165"/>
      <c r="D1" s="165"/>
      <c r="E1" s="165"/>
      <c r="F1" s="165"/>
      <c r="G1" s="111"/>
    </row>
    <row r="2" spans="1:7" x14ac:dyDescent="0.25">
      <c r="A2" s="153" t="str">
        <f>ENTE_PUBLICO</f>
        <v>SISTEMA MUNICIPAL DE AGUA POTABLE Y ALCANTARILLADOS DE SAN JOSE ITURBIDE GUANAJUATO, GTO., Gobierno del Estado de Guanajuato</v>
      </c>
      <c r="B2" s="154"/>
      <c r="C2" s="154"/>
      <c r="D2" s="154"/>
      <c r="E2" s="154"/>
      <c r="F2" s="155"/>
    </row>
    <row r="3" spans="1:7" x14ac:dyDescent="0.25">
      <c r="A3" s="162" t="s">
        <v>488</v>
      </c>
      <c r="B3" s="163"/>
      <c r="C3" s="163"/>
      <c r="D3" s="163"/>
      <c r="E3" s="163"/>
      <c r="F3" s="164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activeCell="B47" sqref="B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537</v>
      </c>
      <c r="B1" s="165"/>
      <c r="C1" s="165"/>
      <c r="D1" s="165"/>
      <c r="E1" s="165"/>
      <c r="F1" s="165"/>
    </row>
    <row r="2" spans="1:6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x14ac:dyDescent="0.25">
      <c r="A4" s="159" t="str">
        <f>PERIODO_INFORME</f>
        <v>Al 31 de diciembre de 2021 y al 30 de junio de 2022 (b)</v>
      </c>
      <c r="B4" s="160"/>
      <c r="C4" s="160"/>
      <c r="D4" s="160"/>
      <c r="E4" s="160"/>
      <c r="F4" s="161"/>
    </row>
    <row r="5" spans="1:6" x14ac:dyDescent="0.25">
      <c r="A5" s="162" t="s">
        <v>118</v>
      </c>
      <c r="B5" s="163"/>
      <c r="C5" s="163"/>
      <c r="D5" s="163"/>
      <c r="E5" s="163"/>
      <c r="F5" s="164"/>
    </row>
    <row r="6" spans="1:6" s="3" customFormat="1" ht="30" x14ac:dyDescent="0.25">
      <c r="A6" s="133" t="s">
        <v>3276</v>
      </c>
      <c r="B6" s="134" t="str">
        <f>ANIO</f>
        <v>2022 (d)</v>
      </c>
      <c r="C6" s="131" t="str">
        <f>ULTIMO</f>
        <v>31 de diciembre de 2021 (e)</v>
      </c>
      <c r="D6" s="135" t="s">
        <v>0</v>
      </c>
      <c r="E6" s="134" t="str">
        <f>ANIO</f>
        <v>2022 (d)</v>
      </c>
      <c r="F6" s="131" t="str">
        <f>ULTIMO</f>
        <v>31 de diciembre de 2021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10077465.529999999</v>
      </c>
      <c r="C9" s="60">
        <f>SUM(C10:C16)</f>
        <v>2037207.08</v>
      </c>
      <c r="D9" s="100" t="s">
        <v>54</v>
      </c>
      <c r="E9" s="60">
        <f>SUM(E10:E18)</f>
        <v>15775751.999999998</v>
      </c>
      <c r="F9" s="60">
        <f>SUM(F10:F18)</f>
        <v>10881153.619999999</v>
      </c>
    </row>
    <row r="10" spans="1:6" x14ac:dyDescent="0.25">
      <c r="A10" s="96" t="s">
        <v>4</v>
      </c>
      <c r="B10" s="60">
        <v>60132</v>
      </c>
      <c r="C10" s="60">
        <v>60132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10017333.529999999</v>
      </c>
      <c r="C11" s="60">
        <v>1977075.08</v>
      </c>
      <c r="D11" s="101" t="s">
        <v>56</v>
      </c>
      <c r="E11" s="60">
        <v>790680.71</v>
      </c>
      <c r="F11" s="60">
        <v>397524.65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0</v>
      </c>
      <c r="F12" s="60">
        <v>0</v>
      </c>
    </row>
    <row r="13" spans="1:6" x14ac:dyDescent="0.25">
      <c r="A13" s="96" t="s">
        <v>7</v>
      </c>
      <c r="B13" s="60">
        <v>0</v>
      </c>
      <c r="C13" s="60">
        <v>0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0</v>
      </c>
      <c r="C14" s="60">
        <v>0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11656531.01</v>
      </c>
      <c r="F16" s="60">
        <v>8326299.6200000001</v>
      </c>
    </row>
    <row r="17" spans="1:6" x14ac:dyDescent="0.25">
      <c r="A17" s="95" t="s">
        <v>11</v>
      </c>
      <c r="B17" s="60">
        <f>SUM(B18:B24)</f>
        <v>26753619.100000001</v>
      </c>
      <c r="C17" s="60">
        <f>SUM(C18:C24)</f>
        <v>23605883.210000001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3328540.28</v>
      </c>
      <c r="F18" s="60">
        <v>2157329.35</v>
      </c>
    </row>
    <row r="19" spans="1:6" x14ac:dyDescent="0.25">
      <c r="A19" s="97" t="s">
        <v>13</v>
      </c>
      <c r="B19" s="60">
        <v>26741319.07</v>
      </c>
      <c r="C19" s="60">
        <v>23593583.18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0</v>
      </c>
      <c r="C20" s="60">
        <v>0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12300.03</v>
      </c>
      <c r="C22" s="60">
        <v>12300.03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0</v>
      </c>
      <c r="C24" s="60">
        <v>0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0</v>
      </c>
      <c r="F28" s="60">
        <v>0</v>
      </c>
    </row>
    <row r="29" spans="1:6" x14ac:dyDescent="0.25">
      <c r="A29" s="97" t="s">
        <v>23</v>
      </c>
      <c r="B29" s="60">
        <v>0</v>
      </c>
      <c r="C29" s="60">
        <v>0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580681.22</v>
      </c>
      <c r="F42" s="60">
        <f>SUM(F43:F45)</f>
        <v>5833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580681.22</v>
      </c>
      <c r="F44" s="60">
        <v>5833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B9+B17+B25+B31+B37+B38+B41</f>
        <v>36831084.630000003</v>
      </c>
      <c r="C47" s="61">
        <f>C9+C17+C25+C31+C37+C38+C41</f>
        <v>25643090.289999999</v>
      </c>
      <c r="D47" s="99" t="s">
        <v>91</v>
      </c>
      <c r="E47" s="61">
        <f>E9+E19+E23+E26+E27+E31+E38+E42</f>
        <v>16356433.219999999</v>
      </c>
      <c r="F47" s="61">
        <f>F9+F19+F23+F26+F27+F31+F38+F42</f>
        <v>10886986.619999999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19865752.690000001</v>
      </c>
      <c r="C52" s="60">
        <v>19117884.210000001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10439358.23</v>
      </c>
      <c r="C53" s="60">
        <v>8026475.7699999996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887413.8</v>
      </c>
      <c r="C54" s="60">
        <v>187413.8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0</v>
      </c>
      <c r="C55" s="60">
        <v>0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16356433.219999999</v>
      </c>
      <c r="F59" s="61">
        <f>F47+F57</f>
        <v>10886986.619999999</v>
      </c>
    </row>
    <row r="60" spans="1:6" x14ac:dyDescent="0.25">
      <c r="A60" s="55" t="s">
        <v>50</v>
      </c>
      <c r="B60" s="61">
        <f>SUM(B50:B58)</f>
        <v>31192524.720000003</v>
      </c>
      <c r="C60" s="61">
        <f>SUM(C50:C58)</f>
        <v>27331773.780000001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68023609.350000009</v>
      </c>
      <c r="C62" s="61">
        <f>SUM(C47+C60)</f>
        <v>52974864.07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0</v>
      </c>
      <c r="F63" s="77">
        <f>SUM(F64:F66)</f>
        <v>0</v>
      </c>
    </row>
    <row r="64" spans="1:6" x14ac:dyDescent="0.25">
      <c r="A64" s="54"/>
      <c r="B64" s="54"/>
      <c r="C64" s="54"/>
      <c r="D64" s="103" t="s">
        <v>103</v>
      </c>
      <c r="E64" s="77">
        <v>0</v>
      </c>
      <c r="F64" s="77">
        <v>0</v>
      </c>
    </row>
    <row r="65" spans="1:6" x14ac:dyDescent="0.25">
      <c r="A65" s="54"/>
      <c r="B65" s="54"/>
      <c r="C65" s="54"/>
      <c r="D65" s="41" t="s">
        <v>104</v>
      </c>
      <c r="E65" s="77">
        <v>0</v>
      </c>
      <c r="F65" s="77">
        <v>0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51667176.129999995</v>
      </c>
      <c r="F68" s="77">
        <f>SUM(F69:F73)</f>
        <v>42087877.450000003</v>
      </c>
    </row>
    <row r="69" spans="1:6" x14ac:dyDescent="0.25">
      <c r="A69" s="12"/>
      <c r="B69" s="54"/>
      <c r="C69" s="54"/>
      <c r="D69" s="103" t="s">
        <v>107</v>
      </c>
      <c r="E69" s="77">
        <v>9642905.0800000001</v>
      </c>
      <c r="F69" s="77">
        <v>9046992.4000000004</v>
      </c>
    </row>
    <row r="70" spans="1:6" x14ac:dyDescent="0.25">
      <c r="A70" s="12"/>
      <c r="B70" s="54"/>
      <c r="C70" s="54"/>
      <c r="D70" s="103" t="s">
        <v>108</v>
      </c>
      <c r="E70" s="77">
        <v>42024271.049999997</v>
      </c>
      <c r="F70" s="77">
        <v>33040885.050000001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51667176.129999995</v>
      </c>
      <c r="F79" s="61">
        <f>F63+F68+F75</f>
        <v>42087877.450000003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68023609.349999994</v>
      </c>
      <c r="F81" s="61">
        <f>F59+F79</f>
        <v>52974864.07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10077465.529999999</v>
      </c>
      <c r="Q4" s="18">
        <f>'Formato 1'!C9</f>
        <v>2037207.08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60132</v>
      </c>
      <c r="Q5" s="18">
        <f>'Formato 1'!C10</f>
        <v>60132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10017333.529999999</v>
      </c>
      <c r="Q6" s="18">
        <f>'Formato 1'!C11</f>
        <v>1977075.08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26753619.100000001</v>
      </c>
      <c r="Q12" s="18">
        <f>'Formato 1'!C17</f>
        <v>23605883.210000001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26741319.07</v>
      </c>
      <c r="Q14" s="18">
        <f>'Formato 1'!C19</f>
        <v>23593583.18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0</v>
      </c>
      <c r="Q15" s="18">
        <f>'Formato 1'!C20</f>
        <v>0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12300.03</v>
      </c>
      <c r="Q17" s="18">
        <f>'Formato 1'!C22</f>
        <v>12300.03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0</v>
      </c>
      <c r="Q19" s="18">
        <f>'Formato 1'!C24</f>
        <v>0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36831084.630000003</v>
      </c>
      <c r="Q42" s="18">
        <f>'Formato 1'!C47</f>
        <v>25643090.289999999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19865752.690000001</v>
      </c>
      <c r="Q46">
        <f>'Formato 1'!C52</f>
        <v>19117884.210000001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10439358.23</v>
      </c>
      <c r="Q47">
        <f>'Formato 1'!C53</f>
        <v>8026475.7699999996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887413.8</v>
      </c>
      <c r="Q48">
        <f>'Formato 1'!C54</f>
        <v>187413.8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0</v>
      </c>
      <c r="Q49">
        <f>'Formato 1'!C55</f>
        <v>0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31192524.720000003</v>
      </c>
      <c r="Q53">
        <f>'Formato 1'!C60</f>
        <v>27331773.780000001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68023609.350000009</v>
      </c>
      <c r="Q54">
        <f>'Formato 1'!C62</f>
        <v>52974864.07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15775751.999999998</v>
      </c>
      <c r="Q57">
        <f>'Formato 1'!F9</f>
        <v>10881153.619999999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790680.71</v>
      </c>
      <c r="Q59">
        <f>'Formato 1'!F11</f>
        <v>397524.65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11656531.01</v>
      </c>
      <c r="Q64">
        <f>'Formato 1'!F16</f>
        <v>8326299.6200000001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3328540.28</v>
      </c>
      <c r="Q66">
        <f>'Formato 1'!F18</f>
        <v>2157329.35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580681.22</v>
      </c>
      <c r="Q91">
        <f>'Formato 1'!F42</f>
        <v>5833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580681.22</v>
      </c>
      <c r="Q93">
        <f>'Formato 1'!F44</f>
        <v>5833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16356433.219999999</v>
      </c>
      <c r="Q95">
        <f>'Formato 1'!F47</f>
        <v>10886986.619999999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16356433.219999999</v>
      </c>
      <c r="Q104">
        <f>'Formato 1'!F59</f>
        <v>10886986.619999999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0</v>
      </c>
      <c r="Q106">
        <f>'Formato 1'!F63</f>
        <v>0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0</v>
      </c>
      <c r="Q107">
        <f>'Formato 1'!F64</f>
        <v>0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51667176.129999995</v>
      </c>
      <c r="Q110">
        <f>'Formato 1'!F68</f>
        <v>42087877.450000003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9642905.0800000001</v>
      </c>
      <c r="Q111">
        <f>'Formato 1'!F69</f>
        <v>9046992.4000000004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42024271.049999997</v>
      </c>
      <c r="Q112">
        <f>'Formato 1'!F70</f>
        <v>33040885.050000001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51667176.129999995</v>
      </c>
      <c r="Q119">
        <f>'Formato 1'!F79</f>
        <v>42087877.450000003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68023609.349999994</v>
      </c>
      <c r="Q120">
        <f>'Formato 1'!F81</f>
        <v>52974864.07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19" zoomScale="90" zoomScaleNormal="90" workbookViewId="0">
      <selection activeCell="A47" sqref="A47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536</v>
      </c>
      <c r="B1" s="167"/>
      <c r="C1" s="167"/>
      <c r="D1" s="167"/>
      <c r="E1" s="167"/>
      <c r="F1" s="167"/>
      <c r="G1" s="167"/>
      <c r="H1" s="167"/>
    </row>
    <row r="2" spans="1:9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x14ac:dyDescent="0.25">
      <c r="A4" s="159" t="str">
        <f>PERIODO_INFORME</f>
        <v>Al 31 de diciembre de 2021 y al 30 de junio de 2022 (b)</v>
      </c>
      <c r="B4" s="160"/>
      <c r="C4" s="160"/>
      <c r="D4" s="160"/>
      <c r="E4" s="160"/>
      <c r="F4" s="160"/>
      <c r="G4" s="160"/>
      <c r="H4" s="161"/>
    </row>
    <row r="5" spans="1:9" x14ac:dyDescent="0.2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2021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/>
      <c r="F10" s="60">
        <v>0</v>
      </c>
      <c r="G10" s="60"/>
      <c r="H10" s="60"/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/>
      <c r="F11" s="60">
        <v>0</v>
      </c>
      <c r="G11" s="60"/>
      <c r="H11" s="60"/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/>
      <c r="F12" s="60">
        <v>0</v>
      </c>
      <c r="G12" s="60"/>
      <c r="H12" s="60"/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/>
      <c r="F14" s="60">
        <v>0</v>
      </c>
      <c r="G14" s="60"/>
      <c r="H14" s="60"/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/>
      <c r="F15" s="60">
        <v>0</v>
      </c>
      <c r="G15" s="60"/>
      <c r="H15" s="60"/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/>
      <c r="F16" s="60">
        <v>0</v>
      </c>
      <c r="G16" s="60"/>
      <c r="H16" s="60"/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435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436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438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439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3292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3</v>
      </c>
      <c r="C41" s="61">
        <f>SUM(C42:OB_CORTO_PLAZO_FIN_02)</f>
        <v>3</v>
      </c>
      <c r="D41" s="61">
        <f>SUM(D42:OB_CORTO_PLAZO_FIN_03)</f>
        <v>3</v>
      </c>
      <c r="E41" s="61">
        <f>SUM(E42:OB_CORTO_PLAZO_FIN_04)</f>
        <v>3</v>
      </c>
      <c r="F41" s="61">
        <f>SUM(F42:OB_CORTO_PLAZO_FIN_05)</f>
        <v>3</v>
      </c>
    </row>
    <row r="42" spans="1:8" s="24" customFormat="1" x14ac:dyDescent="0.25">
      <c r="A42" s="109" t="s">
        <v>440</v>
      </c>
      <c r="B42" s="60">
        <v>1</v>
      </c>
      <c r="C42" s="60">
        <v>1</v>
      </c>
      <c r="D42" s="60">
        <v>1</v>
      </c>
      <c r="E42" s="60">
        <v>1</v>
      </c>
      <c r="F42" s="60">
        <v>1</v>
      </c>
    </row>
    <row r="43" spans="1:8" s="24" customFormat="1" x14ac:dyDescent="0.25">
      <c r="A43" s="109" t="s">
        <v>441</v>
      </c>
      <c r="B43" s="60">
        <v>1</v>
      </c>
      <c r="C43" s="60">
        <v>1</v>
      </c>
      <c r="D43" s="60">
        <v>1</v>
      </c>
      <c r="E43" s="60">
        <v>1</v>
      </c>
      <c r="F43" s="60">
        <v>1</v>
      </c>
    </row>
    <row r="44" spans="1:8" s="24" customFormat="1" x14ac:dyDescent="0.25">
      <c r="A44" s="109" t="s">
        <v>442</v>
      </c>
      <c r="B44" s="60">
        <v>1</v>
      </c>
      <c r="C44" s="60">
        <v>1</v>
      </c>
      <c r="D44" s="60">
        <v>1</v>
      </c>
      <c r="E44" s="60">
        <v>1</v>
      </c>
      <c r="F44" s="60">
        <v>1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si="0"/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3</v>
      </c>
      <c r="Q17">
        <f>OB_CORTO_PLAZO_T2</f>
        <v>3</v>
      </c>
      <c r="R17">
        <f>OB_CORTO_PLAZO_T3</f>
        <v>3</v>
      </c>
      <c r="S17">
        <f>OB_CORTO_PLAZO_T4</f>
        <v>3</v>
      </c>
      <c r="T17">
        <f>OB_CORTO_PLAZO_T5</f>
        <v>3</v>
      </c>
    </row>
    <row r="18" spans="1:20" x14ac:dyDescent="0.25">
      <c r="A18" s="3"/>
    </row>
    <row r="19" spans="1:20" x14ac:dyDescent="0.25">
      <c r="A19" s="3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2" sqref="A2:K2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535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x14ac:dyDescent="0.25">
      <c r="A2" s="153" t="str">
        <f>ENTE_PUBLICO_A</f>
        <v>SISTEMA MUNICIPAL DE AGUA POTABLE Y ALCANTARILLADOS DE SAN JOSE ITURBIDE GUANAJUATO,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x14ac:dyDescent="0.25">
      <c r="A4" s="159" t="str">
        <f>TRIMESTRE</f>
        <v>Del 1 de enero al 30 de junio de 2022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x14ac:dyDescent="0.2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2022 (k)</v>
      </c>
      <c r="J6" s="131" t="str">
        <f>MONTO2</f>
        <v>Monto pagado de la inversión actualizado al 30 de junio de 2022 (l)</v>
      </c>
      <c r="K6" s="131" t="str">
        <f>SALDO_PENDIENTE</f>
        <v>Saldo pendiente por pagar de la inversión al 30 de junio de 2022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4</v>
      </c>
      <c r="F8" s="129"/>
      <c r="G8" s="61">
        <f>SUM(G9:APP_FIN_06)</f>
        <v>4</v>
      </c>
      <c r="H8" s="61">
        <f>SUM(H9:APP_FIN_07)</f>
        <v>4</v>
      </c>
      <c r="I8" s="61">
        <f>SUM(I9:APP_FIN_08)</f>
        <v>4</v>
      </c>
      <c r="J8" s="61">
        <f>SUM(J9:APP_FIN_09)</f>
        <v>4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1</v>
      </c>
      <c r="F9" s="60">
        <v>80</v>
      </c>
      <c r="G9" s="60">
        <v>1</v>
      </c>
      <c r="H9" s="60">
        <v>1</v>
      </c>
      <c r="I9" s="60">
        <v>1</v>
      </c>
      <c r="J9" s="60">
        <v>1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1</v>
      </c>
      <c r="F10" s="60">
        <v>70</v>
      </c>
      <c r="G10" s="60">
        <v>1</v>
      </c>
      <c r="H10" s="60">
        <v>1</v>
      </c>
      <c r="I10" s="60">
        <v>1</v>
      </c>
      <c r="J10" s="60">
        <v>1</v>
      </c>
      <c r="K10" s="60">
        <f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1</v>
      </c>
      <c r="F11" s="60">
        <v>60</v>
      </c>
      <c r="G11" s="60">
        <v>1</v>
      </c>
      <c r="H11" s="60">
        <v>1</v>
      </c>
      <c r="I11" s="60">
        <v>1</v>
      </c>
      <c r="J11" s="60">
        <v>1</v>
      </c>
      <c r="K11" s="60">
        <f>E11-J11</f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1</v>
      </c>
      <c r="F12" s="60">
        <v>50</v>
      </c>
      <c r="G12" s="60">
        <v>1</v>
      </c>
      <c r="H12" s="60">
        <v>1</v>
      </c>
      <c r="I12" s="60">
        <v>1</v>
      </c>
      <c r="J12" s="60">
        <v>1</v>
      </c>
      <c r="K12" s="60">
        <f>E12-J12</f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4</v>
      </c>
      <c r="F14" s="129"/>
      <c r="G14" s="61">
        <f>SUM(G15:OTROS_FIN_06)</f>
        <v>4</v>
      </c>
      <c r="H14" s="61">
        <f>SUM(H15:OTROS_FIN_07)</f>
        <v>4</v>
      </c>
      <c r="I14" s="61">
        <f>SUM(I15:OTROS_FIN_08)</f>
        <v>4</v>
      </c>
      <c r="J14" s="61">
        <f>SUM(J15:OTROS_FIN_09)</f>
        <v>4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1</v>
      </c>
      <c r="F15" s="60">
        <v>40</v>
      </c>
      <c r="G15" s="60">
        <v>1</v>
      </c>
      <c r="H15" s="60">
        <v>1</v>
      </c>
      <c r="I15" s="60">
        <v>1</v>
      </c>
      <c r="J15" s="60">
        <v>1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1</v>
      </c>
      <c r="F16" s="60">
        <v>30</v>
      </c>
      <c r="G16" s="60">
        <v>1</v>
      </c>
      <c r="H16" s="60">
        <v>1</v>
      </c>
      <c r="I16" s="60">
        <v>1</v>
      </c>
      <c r="J16" s="60">
        <v>1</v>
      </c>
      <c r="K16" s="60">
        <f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1</v>
      </c>
      <c r="F17" s="60">
        <v>20</v>
      </c>
      <c r="G17" s="60">
        <v>1</v>
      </c>
      <c r="H17" s="60">
        <v>1</v>
      </c>
      <c r="I17" s="60">
        <v>1</v>
      </c>
      <c r="J17" s="60">
        <v>1</v>
      </c>
      <c r="K17" s="60">
        <f>E17-J17</f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1</v>
      </c>
      <c r="F18" s="60">
        <v>10</v>
      </c>
      <c r="G18" s="60">
        <v>1</v>
      </c>
      <c r="H18" s="60">
        <v>1</v>
      </c>
      <c r="I18" s="60">
        <v>1</v>
      </c>
      <c r="J18" s="60">
        <v>1</v>
      </c>
      <c r="K18" s="60">
        <f>E18-J18</f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8</v>
      </c>
      <c r="F20" s="129"/>
      <c r="G20" s="61">
        <f>APP_T6+OTROS_T6</f>
        <v>8</v>
      </c>
      <c r="H20" s="61">
        <f>APP_T7+OTROS_T7</f>
        <v>8</v>
      </c>
      <c r="I20" s="61">
        <f>APP_T8+OTROS_T8</f>
        <v>8</v>
      </c>
      <c r="J20" s="61">
        <f>APP_T9+OTROS_T9</f>
        <v>8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4</v>
      </c>
      <c r="T3" s="18"/>
      <c r="U3" s="18">
        <f>APP_T6</f>
        <v>4</v>
      </c>
      <c r="V3" s="18">
        <f>APP_T7</f>
        <v>4</v>
      </c>
      <c r="W3">
        <f>APP_T8</f>
        <v>4</v>
      </c>
      <c r="X3">
        <f>APP_T9</f>
        <v>4</v>
      </c>
      <c r="Y3">
        <f>APP_T10</f>
        <v>0</v>
      </c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4</v>
      </c>
      <c r="T4" s="18"/>
      <c r="U4" s="18">
        <f>OTROS_T6</f>
        <v>4</v>
      </c>
      <c r="V4" s="18">
        <f>OTROS_T7</f>
        <v>4</v>
      </c>
      <c r="W4">
        <f>OTROS_T8</f>
        <v>4</v>
      </c>
      <c r="X4">
        <f>OTROS_T9</f>
        <v>4</v>
      </c>
      <c r="Y4">
        <f>OTROS_T10</f>
        <v>0</v>
      </c>
    </row>
    <row r="5" spans="1:25" x14ac:dyDescent="0.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8</v>
      </c>
      <c r="T5" s="18"/>
      <c r="U5" s="18">
        <f>TOTAL_ODF_T6</f>
        <v>8</v>
      </c>
      <c r="V5" s="18">
        <f>TOTAL_ODF_T7</f>
        <v>8</v>
      </c>
      <c r="W5" s="18">
        <f>TOTAL_ODF_T8</f>
        <v>8</v>
      </c>
      <c r="X5" s="18">
        <f>TOTAL_ODF_T9</f>
        <v>8</v>
      </c>
      <c r="Y5" s="18">
        <f>TOTAL_ODF_T10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Admin01</cp:lastModifiedBy>
  <cp:lastPrinted>2017-02-04T00:56:20Z</cp:lastPrinted>
  <dcterms:created xsi:type="dcterms:W3CDTF">2017-01-19T17:59:06Z</dcterms:created>
  <dcterms:modified xsi:type="dcterms:W3CDTF">2023-02-15T23:11:48Z</dcterms:modified>
</cp:coreProperties>
</file>